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\\ad.intra.univ-nantes.fr\su\CAP\INT\04-ETUDES\Etude ponctuelle\ETUDES PONCTUELLES 2024\13- Présentation webinaire\"/>
    </mc:Choice>
  </mc:AlternateContent>
  <xr:revisionPtr revIDLastSave="0" documentId="13_ncr:1_{972A03BE-20E2-4BF4-A360-BF9AF5205529}" xr6:coauthVersionLast="47" xr6:coauthVersionMax="47" xr10:uidLastSave="{00000000-0000-0000-0000-000000000000}"/>
  <bookViews>
    <workbookView showHorizontalScroll="0" showVerticalScroll="0" xWindow="-110" yWindow="-110" windowWidth="19420" windowHeight="11620" activeTab="1" xr2:uid="{00000000-000D-0000-FFFF-FFFF00000000}"/>
  </bookViews>
  <sheets>
    <sheet name="Cout Personnel " sheetId="1" r:id="rId1"/>
    <sheet name="Matrice FC" sheetId="3" r:id="rId2"/>
    <sheet name="Clés" sheetId="5" state="hidden" r:id="rId3"/>
  </sheets>
  <externalReferences>
    <externalReference r:id="rId4"/>
    <externalReference r:id="rId5"/>
  </externalReferences>
  <definedNames>
    <definedName name="statut">'[1]Liste déroulante'!$A$1:$A$3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30" i="1"/>
  <c r="D9" i="1"/>
  <c r="F67" i="3" l="1"/>
  <c r="F63" i="3" l="1"/>
  <c r="F51" i="1" l="1"/>
  <c r="E77" i="1" l="1"/>
  <c r="E78" i="1"/>
  <c r="E79" i="1"/>
  <c r="E80" i="1"/>
  <c r="E81" i="1"/>
  <c r="E24" i="1" l="1"/>
  <c r="L16" i="3" l="1"/>
  <c r="K16" i="3"/>
  <c r="D16" i="3"/>
  <c r="D13" i="3"/>
  <c r="H18" i="3"/>
  <c r="H15" i="3"/>
  <c r="A52" i="1" l="1"/>
  <c r="A53" i="1"/>
  <c r="A54" i="1"/>
  <c r="A55" i="1"/>
  <c r="A56" i="1"/>
  <c r="A57" i="1"/>
  <c r="A60" i="1"/>
  <c r="A61" i="1"/>
  <c r="A62" i="1"/>
  <c r="A63" i="1"/>
  <c r="A64" i="1"/>
  <c r="F61" i="1" l="1"/>
  <c r="H61" i="1" s="1"/>
  <c r="F62" i="1"/>
  <c r="H62" i="1" s="1"/>
  <c r="F63" i="1"/>
  <c r="H63" i="1" s="1"/>
  <c r="F64" i="1"/>
  <c r="H64" i="1" s="1"/>
  <c r="F60" i="1"/>
  <c r="H60" i="1" s="1"/>
  <c r="J38" i="1"/>
  <c r="F38" i="1"/>
  <c r="B38" i="1"/>
  <c r="I34" i="1"/>
  <c r="I35" i="1"/>
  <c r="I36" i="1"/>
  <c r="I37" i="1"/>
  <c r="E37" i="1"/>
  <c r="E34" i="1"/>
  <c r="E35" i="1"/>
  <c r="E36" i="1"/>
  <c r="E33" i="1"/>
  <c r="N40" i="1" l="1"/>
  <c r="H20" i="1"/>
  <c r="D85" i="3"/>
  <c r="C85" i="3"/>
  <c r="L85" i="3"/>
  <c r="K85" i="3"/>
  <c r="F84" i="3"/>
  <c r="F83" i="3"/>
  <c r="F82" i="3"/>
  <c r="G82" i="3" s="1"/>
  <c r="K45" i="3"/>
  <c r="L45" i="3"/>
  <c r="D45" i="3"/>
  <c r="C45" i="3"/>
  <c r="C36" i="3"/>
  <c r="F44" i="3"/>
  <c r="G44" i="3" s="1"/>
  <c r="H44" i="3" s="1"/>
  <c r="F43" i="3"/>
  <c r="G43" i="3" s="1"/>
  <c r="H43" i="3" s="1"/>
  <c r="M37" i="1" l="1"/>
  <c r="N37" i="1" s="1"/>
  <c r="M34" i="1"/>
  <c r="N34" i="1" s="1"/>
  <c r="M35" i="1"/>
  <c r="N35" i="1" s="1"/>
  <c r="M36" i="1"/>
  <c r="N36" i="1" s="1"/>
  <c r="G84" i="3"/>
  <c r="H84" i="3" s="1"/>
  <c r="G83" i="3"/>
  <c r="H83" i="3" s="1"/>
  <c r="H82" i="3"/>
  <c r="H85" i="3" l="1"/>
  <c r="G85" i="3"/>
  <c r="F78" i="3"/>
  <c r="F76" i="3"/>
  <c r="F75" i="3"/>
  <c r="F73" i="3"/>
  <c r="F69" i="3"/>
  <c r="F64" i="3"/>
  <c r="G64" i="3" s="1"/>
  <c r="F38" i="3"/>
  <c r="F35" i="3"/>
  <c r="F33" i="3"/>
  <c r="F24" i="3"/>
  <c r="F22" i="3"/>
  <c r="F17" i="3"/>
  <c r="G17" i="3" s="1"/>
  <c r="G16" i="3" l="1"/>
  <c r="B65" i="1"/>
  <c r="C65" i="1"/>
  <c r="D65" i="1"/>
  <c r="E65" i="1"/>
  <c r="A51" i="1"/>
  <c r="F57" i="1"/>
  <c r="H51" i="1"/>
  <c r="D10" i="1"/>
  <c r="D11" i="1"/>
  <c r="D12" i="1"/>
  <c r="D13" i="1"/>
  <c r="D14" i="1"/>
  <c r="C77" i="3"/>
  <c r="J80" i="3"/>
  <c r="Q80" i="3"/>
  <c r="J40" i="3"/>
  <c r="Q40" i="3"/>
  <c r="L68" i="3"/>
  <c r="L70" i="3"/>
  <c r="L72" i="3"/>
  <c r="L74" i="3"/>
  <c r="L77" i="3"/>
  <c r="K77" i="3"/>
  <c r="K74" i="3"/>
  <c r="K72" i="3"/>
  <c r="K70" i="3"/>
  <c r="K68" i="3"/>
  <c r="K61" i="3"/>
  <c r="L61" i="3"/>
  <c r="L57" i="3"/>
  <c r="K57" i="3"/>
  <c r="H57" i="3"/>
  <c r="C75" i="1" l="1"/>
  <c r="D75" i="1" s="1"/>
  <c r="C79" i="1"/>
  <c r="D79" i="1" s="1"/>
  <c r="C76" i="1"/>
  <c r="D76" i="1" s="1"/>
  <c r="C80" i="1"/>
  <c r="D80" i="1" s="1"/>
  <c r="C73" i="1"/>
  <c r="D73" i="1" s="1"/>
  <c r="C77" i="1"/>
  <c r="D77" i="1" s="1"/>
  <c r="C78" i="1"/>
  <c r="D78" i="1" s="1"/>
  <c r="C81" i="1"/>
  <c r="D81" i="1" s="1"/>
  <c r="C74" i="1"/>
  <c r="D74" i="1" s="1"/>
  <c r="C72" i="1"/>
  <c r="E12" i="1"/>
  <c r="E13" i="1"/>
  <c r="E9" i="1"/>
  <c r="E10" i="1"/>
  <c r="E14" i="1"/>
  <c r="M18" i="3" s="1"/>
  <c r="N18" i="3" s="1"/>
  <c r="O18" i="3" s="1"/>
  <c r="R18" i="3" s="1"/>
  <c r="E11" i="1"/>
  <c r="K79" i="3"/>
  <c r="K80" i="3" s="1"/>
  <c r="L79" i="3"/>
  <c r="L80" i="3" s="1"/>
  <c r="D72" i="1" l="1"/>
  <c r="E72" i="1" s="1"/>
  <c r="D19" i="3" s="1"/>
  <c r="M84" i="3"/>
  <c r="M82" i="3"/>
  <c r="N82" i="3" s="1"/>
  <c r="M83" i="3"/>
  <c r="M44" i="3"/>
  <c r="N44" i="3" s="1"/>
  <c r="O44" i="3" s="1"/>
  <c r="R44" i="3" s="1"/>
  <c r="M43" i="3"/>
  <c r="N43" i="3" s="1"/>
  <c r="O43" i="3" s="1"/>
  <c r="R43" i="3" s="1"/>
  <c r="M42" i="3"/>
  <c r="M27" i="3"/>
  <c r="M33" i="3"/>
  <c r="M37" i="3"/>
  <c r="M21" i="3"/>
  <c r="M17" i="3"/>
  <c r="M65" i="3"/>
  <c r="M76" i="3"/>
  <c r="M69" i="3"/>
  <c r="M58" i="3"/>
  <c r="M35" i="3"/>
  <c r="M20" i="3"/>
  <c r="M67" i="3"/>
  <c r="M59" i="3"/>
  <c r="M30" i="3"/>
  <c r="M15" i="3"/>
  <c r="M78" i="3"/>
  <c r="M60" i="3"/>
  <c r="M28" i="3"/>
  <c r="M34" i="3"/>
  <c r="M32" i="3"/>
  <c r="M22" i="3"/>
  <c r="M14" i="3"/>
  <c r="M66" i="3"/>
  <c r="M75" i="3"/>
  <c r="M62" i="3"/>
  <c r="M29" i="3"/>
  <c r="M26" i="3"/>
  <c r="M63" i="3"/>
  <c r="M73" i="3"/>
  <c r="M38" i="3"/>
  <c r="M24" i="3"/>
  <c r="M64" i="3"/>
  <c r="M71" i="3"/>
  <c r="I30" i="1"/>
  <c r="E28" i="1"/>
  <c r="I29" i="1"/>
  <c r="I33" i="1"/>
  <c r="E29" i="1"/>
  <c r="I28" i="1"/>
  <c r="E27" i="1"/>
  <c r="E30" i="1"/>
  <c r="H70" i="3"/>
  <c r="D68" i="3"/>
  <c r="D70" i="3"/>
  <c r="D72" i="3"/>
  <c r="D74" i="3"/>
  <c r="D77" i="3"/>
  <c r="C74" i="3"/>
  <c r="C72" i="3"/>
  <c r="C70" i="3"/>
  <c r="C68" i="3"/>
  <c r="D61" i="3"/>
  <c r="C61" i="3"/>
  <c r="D57" i="3"/>
  <c r="G57" i="3"/>
  <c r="C57" i="3"/>
  <c r="D23" i="3"/>
  <c r="D36" i="3"/>
  <c r="D31" i="3"/>
  <c r="L36" i="3"/>
  <c r="L31" i="3"/>
  <c r="K31" i="3"/>
  <c r="L25" i="3"/>
  <c r="K25" i="3"/>
  <c r="L23" i="3"/>
  <c r="L19" i="3"/>
  <c r="L13" i="3"/>
  <c r="K13" i="3"/>
  <c r="K36" i="3"/>
  <c r="K23" i="3"/>
  <c r="K19" i="3"/>
  <c r="C23" i="3"/>
  <c r="D25" i="3"/>
  <c r="C25" i="3"/>
  <c r="C31" i="3"/>
  <c r="K39" i="3" l="1"/>
  <c r="K40" i="3" s="1"/>
  <c r="D39" i="3"/>
  <c r="D40" i="3" s="1"/>
  <c r="L39" i="3"/>
  <c r="L40" i="3" s="1"/>
  <c r="N84" i="3"/>
  <c r="O84" i="3" s="1"/>
  <c r="R84" i="3" s="1"/>
  <c r="N83" i="3"/>
  <c r="O83" i="3" s="1"/>
  <c r="R83" i="3" s="1"/>
  <c r="O82" i="3"/>
  <c r="N42" i="3"/>
  <c r="N45" i="3" s="1"/>
  <c r="C79" i="3"/>
  <c r="C80" i="3" s="1"/>
  <c r="D79" i="3"/>
  <c r="D80" i="3" s="1"/>
  <c r="G70" i="3"/>
  <c r="F52" i="1"/>
  <c r="F53" i="1"/>
  <c r="H53" i="1" s="1"/>
  <c r="F54" i="1"/>
  <c r="H54" i="1" s="1"/>
  <c r="F55" i="1"/>
  <c r="H55" i="1" s="1"/>
  <c r="F56" i="1"/>
  <c r="H56" i="1" s="1"/>
  <c r="H57" i="1"/>
  <c r="O85" i="3" l="1"/>
  <c r="N85" i="3"/>
  <c r="R82" i="3"/>
  <c r="R85" i="3" s="1"/>
  <c r="O42" i="3"/>
  <c r="O45" i="3" s="1"/>
  <c r="F65" i="1"/>
  <c r="F67" i="1" s="1"/>
  <c r="H52" i="1"/>
  <c r="E74" i="1"/>
  <c r="E75" i="1"/>
  <c r="E76" i="1"/>
  <c r="H65" i="1" l="1"/>
  <c r="A2" i="3"/>
  <c r="A3" i="3"/>
  <c r="A4" i="3"/>
  <c r="A1" i="3"/>
  <c r="B2" i="5" l="1"/>
  <c r="F30" i="3" s="1"/>
  <c r="G30" i="3" s="1"/>
  <c r="H30" i="3" s="1"/>
  <c r="B3" i="5"/>
  <c r="B1" i="5"/>
  <c r="F65" i="3" l="1"/>
  <c r="F66" i="3"/>
  <c r="F32" i="3"/>
  <c r="G32" i="3" s="1"/>
  <c r="F34" i="3"/>
  <c r="G34" i="3" s="1"/>
  <c r="H34" i="3" s="1"/>
  <c r="F20" i="3"/>
  <c r="G20" i="3" s="1"/>
  <c r="F21" i="3"/>
  <c r="F42" i="3"/>
  <c r="G42" i="3" s="1"/>
  <c r="H42" i="3" s="1"/>
  <c r="H45" i="3" s="1"/>
  <c r="F14" i="3"/>
  <c r="G14" i="3" s="1"/>
  <c r="H25" i="3"/>
  <c r="G25" i="3"/>
  <c r="M33" i="1"/>
  <c r="N33" i="1" s="1"/>
  <c r="M30" i="1"/>
  <c r="N30" i="1" s="1"/>
  <c r="M29" i="1"/>
  <c r="N29" i="1" s="1"/>
  <c r="N67" i="3"/>
  <c r="O67" i="3" s="1"/>
  <c r="N75" i="3"/>
  <c r="N69" i="3"/>
  <c r="N76" i="3"/>
  <c r="O76" i="3" s="1"/>
  <c r="N71" i="3"/>
  <c r="N78" i="3"/>
  <c r="N73" i="3"/>
  <c r="N14" i="3"/>
  <c r="N27" i="3"/>
  <c r="O27" i="3" s="1"/>
  <c r="R27" i="3" s="1"/>
  <c r="N37" i="3"/>
  <c r="N22" i="3"/>
  <c r="O22" i="3" s="1"/>
  <c r="N28" i="3"/>
  <c r="O28" i="3" s="1"/>
  <c r="R28" i="3" s="1"/>
  <c r="N38" i="3"/>
  <c r="O38" i="3" s="1"/>
  <c r="N35" i="3"/>
  <c r="O35" i="3" s="1"/>
  <c r="N15" i="3"/>
  <c r="O15" i="3" s="1"/>
  <c r="R15" i="3" s="1"/>
  <c r="N24" i="3"/>
  <c r="N29" i="3"/>
  <c r="O29" i="3" s="1"/>
  <c r="R29" i="3" s="1"/>
  <c r="N34" i="3"/>
  <c r="G76" i="3"/>
  <c r="H76" i="3" s="1"/>
  <c r="G69" i="3"/>
  <c r="G67" i="3"/>
  <c r="H67" i="3" s="1"/>
  <c r="G38" i="3"/>
  <c r="G75" i="3"/>
  <c r="G63" i="3"/>
  <c r="G33" i="3"/>
  <c r="H33" i="3" s="1"/>
  <c r="G35" i="3"/>
  <c r="H35" i="3" s="1"/>
  <c r="G73" i="3"/>
  <c r="G78" i="3"/>
  <c r="G24" i="3"/>
  <c r="M27" i="1"/>
  <c r="E25" i="1"/>
  <c r="E26" i="1"/>
  <c r="M28" i="1"/>
  <c r="N28" i="1" s="1"/>
  <c r="I27" i="1"/>
  <c r="I24" i="1"/>
  <c r="M25" i="1"/>
  <c r="I26" i="1"/>
  <c r="M26" i="1"/>
  <c r="M24" i="1"/>
  <c r="I25" i="1"/>
  <c r="E73" i="1"/>
  <c r="E82" i="1" s="1"/>
  <c r="C17" i="3" s="1"/>
  <c r="G22" i="3"/>
  <c r="M38" i="1" l="1"/>
  <c r="G45" i="3"/>
  <c r="O34" i="3"/>
  <c r="R34" i="3" s="1"/>
  <c r="G13" i="3"/>
  <c r="E38" i="1"/>
  <c r="I38" i="1"/>
  <c r="R42" i="3"/>
  <c r="R45" i="3" s="1"/>
  <c r="R76" i="3"/>
  <c r="R67" i="3"/>
  <c r="N26" i="1"/>
  <c r="N27" i="1"/>
  <c r="N24" i="1"/>
  <c r="N25" i="1"/>
  <c r="O37" i="3"/>
  <c r="N36" i="3"/>
  <c r="N70" i="3"/>
  <c r="O71" i="3"/>
  <c r="O75" i="3"/>
  <c r="O74" i="3" s="1"/>
  <c r="N74" i="3"/>
  <c r="G23" i="3"/>
  <c r="H24" i="3"/>
  <c r="H75" i="3"/>
  <c r="G74" i="3"/>
  <c r="G68" i="3"/>
  <c r="H69" i="3"/>
  <c r="O73" i="3"/>
  <c r="O72" i="3" s="1"/>
  <c r="N72" i="3"/>
  <c r="O69" i="3"/>
  <c r="O68" i="3" s="1"/>
  <c r="N68" i="3"/>
  <c r="H73" i="3"/>
  <c r="G72" i="3"/>
  <c r="H32" i="3"/>
  <c r="H31" i="3" s="1"/>
  <c r="G31" i="3"/>
  <c r="O24" i="3"/>
  <c r="O23" i="3" s="1"/>
  <c r="N23" i="3"/>
  <c r="G77" i="3"/>
  <c r="H78" i="3"/>
  <c r="R35" i="3"/>
  <c r="H38" i="3"/>
  <c r="G36" i="3"/>
  <c r="O78" i="3"/>
  <c r="O77" i="3" s="1"/>
  <c r="N77" i="3"/>
  <c r="N38" i="1" l="1"/>
  <c r="C14" i="3" s="1"/>
  <c r="H23" i="3"/>
  <c r="R24" i="3"/>
  <c r="O70" i="3"/>
  <c r="R70" i="3" s="1"/>
  <c r="R71" i="3"/>
  <c r="R38" i="3"/>
  <c r="H36" i="3"/>
  <c r="H72" i="3"/>
  <c r="R72" i="3" s="1"/>
  <c r="R73" i="3"/>
  <c r="R75" i="3"/>
  <c r="H74" i="3"/>
  <c r="R74" i="3" s="1"/>
  <c r="H77" i="3"/>
  <c r="R77" i="3" s="1"/>
  <c r="R78" i="3"/>
  <c r="H68" i="3"/>
  <c r="R68" i="3" s="1"/>
  <c r="R69" i="3"/>
  <c r="O36" i="3"/>
  <c r="R37" i="3"/>
  <c r="C13" i="3" l="1"/>
  <c r="H14" i="3"/>
  <c r="H13" i="3" s="1"/>
  <c r="R36" i="3"/>
  <c r="H22" i="3" l="1"/>
  <c r="R22" i="3" s="1"/>
  <c r="C19" i="3"/>
  <c r="N63" i="3"/>
  <c r="O63" i="3" s="1"/>
  <c r="N62" i="3"/>
  <c r="N64" i="3"/>
  <c r="O64" i="3" s="1"/>
  <c r="N33" i="3"/>
  <c r="N66" i="3"/>
  <c r="N26" i="3"/>
  <c r="N65" i="3"/>
  <c r="O65" i="3" s="1"/>
  <c r="N32" i="3"/>
  <c r="N21" i="3"/>
  <c r="O21" i="3" s="1"/>
  <c r="N60" i="3" s="1"/>
  <c r="O60" i="3" s="1"/>
  <c r="R60" i="3" s="1"/>
  <c r="N17" i="3"/>
  <c r="N20" i="3"/>
  <c r="N30" i="3"/>
  <c r="O30" i="3" s="1"/>
  <c r="R30" i="3" s="1"/>
  <c r="O17" i="3" l="1"/>
  <c r="N16" i="3"/>
  <c r="N31" i="3"/>
  <c r="O66" i="3"/>
  <c r="O33" i="3"/>
  <c r="N61" i="3"/>
  <c r="N19" i="3"/>
  <c r="N13" i="3"/>
  <c r="N25" i="3"/>
  <c r="O62" i="3"/>
  <c r="H63" i="3"/>
  <c r="R63" i="3" s="1"/>
  <c r="G65" i="3"/>
  <c r="H65" i="3" s="1"/>
  <c r="R65" i="3" s="1"/>
  <c r="G66" i="3"/>
  <c r="G21" i="3"/>
  <c r="G19" i="3" s="1"/>
  <c r="G39" i="3" s="1"/>
  <c r="G40" i="3" s="1"/>
  <c r="O14" i="3"/>
  <c r="O26" i="3"/>
  <c r="O25" i="3" s="1"/>
  <c r="O32" i="3"/>
  <c r="O20" i="3"/>
  <c r="O19" i="3" s="1"/>
  <c r="R23" i="3"/>
  <c r="C16" i="3" l="1"/>
  <c r="C39" i="3" s="1"/>
  <c r="C40" i="3" s="1"/>
  <c r="H17" i="3"/>
  <c r="H16" i="3" s="1"/>
  <c r="N39" i="3"/>
  <c r="N40" i="3" s="1"/>
  <c r="O13" i="3"/>
  <c r="R13" i="3" s="1"/>
  <c r="R14" i="3"/>
  <c r="O16" i="3"/>
  <c r="O31" i="3"/>
  <c r="H66" i="3"/>
  <c r="O61" i="3"/>
  <c r="R62" i="3"/>
  <c r="R33" i="3"/>
  <c r="H64" i="3"/>
  <c r="R64" i="3" s="1"/>
  <c r="G61" i="3"/>
  <c r="G79" i="3" s="1"/>
  <c r="G80" i="3" s="1"/>
  <c r="H21" i="3"/>
  <c r="R21" i="3" s="1"/>
  <c r="N58" i="3"/>
  <c r="N59" i="3"/>
  <c r="H20" i="3"/>
  <c r="R20" i="3" s="1"/>
  <c r="R17" i="3" l="1"/>
  <c r="R31" i="3"/>
  <c r="O39" i="3"/>
  <c r="P19" i="3" s="1"/>
  <c r="R16" i="3"/>
  <c r="O59" i="3"/>
  <c r="R66" i="3"/>
  <c r="N57" i="3"/>
  <c r="N79" i="3" s="1"/>
  <c r="N80" i="3" s="1"/>
  <c r="H61" i="3"/>
  <c r="H19" i="3"/>
  <c r="H39" i="3" s="1"/>
  <c r="O58" i="3"/>
  <c r="R32" i="3"/>
  <c r="R26" i="3"/>
  <c r="O40" i="3" l="1"/>
  <c r="P23" i="3"/>
  <c r="P16" i="3"/>
  <c r="R19" i="3"/>
  <c r="I19" i="3"/>
  <c r="P13" i="3"/>
  <c r="R59" i="3"/>
  <c r="O57" i="3"/>
  <c r="R58" i="3"/>
  <c r="R61" i="3"/>
  <c r="H79" i="3"/>
  <c r="R25" i="3"/>
  <c r="I74" i="3" l="1"/>
  <c r="I61" i="3"/>
  <c r="I72" i="3"/>
  <c r="I57" i="3"/>
  <c r="I70" i="3"/>
  <c r="I77" i="3"/>
  <c r="I68" i="3"/>
  <c r="I13" i="3"/>
  <c r="I16" i="3"/>
  <c r="H40" i="3"/>
  <c r="P39" i="3"/>
  <c r="R39" i="3"/>
  <c r="O79" i="3"/>
  <c r="R57" i="3"/>
  <c r="H80" i="3"/>
  <c r="I79" i="3" l="1"/>
  <c r="P77" i="3"/>
  <c r="P68" i="3"/>
  <c r="P74" i="3"/>
  <c r="P61" i="3"/>
  <c r="P72" i="3"/>
  <c r="P57" i="3"/>
  <c r="P79" i="3"/>
  <c r="P70" i="3"/>
  <c r="S19" i="3"/>
  <c r="R47" i="3"/>
  <c r="R50" i="3" s="1"/>
  <c r="R40" i="3"/>
  <c r="S23" i="3"/>
  <c r="S16" i="3"/>
  <c r="O80" i="3"/>
  <c r="R79" i="3"/>
  <c r="S68" i="3" l="1"/>
  <c r="S77" i="3"/>
  <c r="R87" i="3"/>
  <c r="S70" i="3"/>
  <c r="S57" i="3"/>
  <c r="S72" i="3"/>
  <c r="S61" i="3"/>
  <c r="S74" i="3"/>
  <c r="R80" i="3"/>
  <c r="S79" i="3" l="1"/>
  <c r="I23" i="3"/>
  <c r="I39" i="3" s="1"/>
  <c r="S13" i="3" l="1"/>
  <c r="S39" i="3" l="1"/>
</calcChain>
</file>

<file path=xl/sharedStrings.xml><?xml version="1.0" encoding="utf-8"?>
<sst xmlns="http://schemas.openxmlformats.org/spreadsheetml/2006/main" count="195" uniqueCount="150">
  <si>
    <t>Statut</t>
  </si>
  <si>
    <t>CM</t>
  </si>
  <si>
    <t>Quote part</t>
  </si>
  <si>
    <t>TD</t>
  </si>
  <si>
    <t>TP</t>
  </si>
  <si>
    <t>Frais de personnel enseignant</t>
  </si>
  <si>
    <t>Autres</t>
  </si>
  <si>
    <t>Total heures</t>
  </si>
  <si>
    <t>Taux
 horaire</t>
  </si>
  <si>
    <t>Charges indirectes</t>
  </si>
  <si>
    <t>%</t>
  </si>
  <si>
    <t>Charges 
directes</t>
  </si>
  <si>
    <t>Affectation 
apprentissage</t>
  </si>
  <si>
    <t>Assiette de 
dépenses</t>
  </si>
  <si>
    <t>Total formation</t>
  </si>
  <si>
    <t>Coût des fonctions supports (1)</t>
  </si>
  <si>
    <t xml:space="preserve"> (1) autres que ceux déjà affectés directement sur la formation</t>
  </si>
  <si>
    <t>APEA</t>
  </si>
  <si>
    <t>Mobilité internationale</t>
  </si>
  <si>
    <t>RECOMMANDATION FRANCE COMPETENCES</t>
  </si>
  <si>
    <t>ECART</t>
  </si>
  <si>
    <t>TOTAL COUT FORMATION  | APPRENTI</t>
  </si>
  <si>
    <t>Suivi (mémoire, projet,…)</t>
  </si>
  <si>
    <t>Soutenance (mémoire, projet,…)</t>
  </si>
  <si>
    <t>Visite Entreprise | Entretien</t>
  </si>
  <si>
    <t>Heures d'enseignement</t>
  </si>
  <si>
    <t xml:space="preserve">Heures d'accompagnement </t>
  </si>
  <si>
    <t>TOTAL COUT  FORMATION</t>
  </si>
  <si>
    <t>Produits directs</t>
  </si>
  <si>
    <t>Assiette de produits</t>
  </si>
  <si>
    <t>Produits  indirects</t>
  </si>
  <si>
    <t>TOTAL FORMATION</t>
  </si>
  <si>
    <t xml:space="preserve">Opco </t>
  </si>
  <si>
    <t xml:space="preserve">Entreprises </t>
  </si>
  <si>
    <t xml:space="preserve">Autres </t>
  </si>
  <si>
    <t xml:space="preserve">Régions </t>
  </si>
  <si>
    <t xml:space="preserve">Etat, autres collectivités et établissements publics </t>
  </si>
  <si>
    <t>RESULTAT ANALYTIQUE</t>
  </si>
  <si>
    <t xml:space="preserve">Fonction </t>
  </si>
  <si>
    <t>PARTENAIRE PEDAGOGIQUE</t>
  </si>
  <si>
    <t>ANNEE CIVILE</t>
  </si>
  <si>
    <t>Total 
formation</t>
  </si>
  <si>
    <t>Taux horaire chargé</t>
  </si>
  <si>
    <t xml:space="preserve">Coût de soutien </t>
  </si>
  <si>
    <t xml:space="preserve">Effectifs </t>
  </si>
  <si>
    <t xml:space="preserve">apprenants de la section </t>
  </si>
  <si>
    <t xml:space="preserve">apprenants du département </t>
  </si>
  <si>
    <t>Données d'activité</t>
  </si>
  <si>
    <t>apprenants de la composante</t>
  </si>
  <si>
    <t>Moyenne</t>
  </si>
  <si>
    <t xml:space="preserve">CHARGES </t>
  </si>
  <si>
    <t>HETD</t>
  </si>
  <si>
    <r>
      <t>COUT DU PERS</t>
    </r>
    <r>
      <rPr>
        <b/>
        <vertAlign val="superscript"/>
        <sz val="10"/>
        <rFont val="Verdana"/>
        <family val="2"/>
      </rPr>
      <t>el</t>
    </r>
  </si>
  <si>
    <r>
      <t>QP COUT DU PERS</t>
    </r>
    <r>
      <rPr>
        <vertAlign val="superscript"/>
        <sz val="10"/>
        <rFont val="Verdana"/>
        <family val="2"/>
      </rPr>
      <t>el</t>
    </r>
  </si>
  <si>
    <t>Données RH</t>
  </si>
  <si>
    <t>Prorata apprentissage</t>
  </si>
  <si>
    <t>DONNEES FINANCIERES</t>
  </si>
  <si>
    <t>ANNEE CIVILE - Hors recherche</t>
  </si>
  <si>
    <t>Autres charges de structure (hors personnel)</t>
  </si>
  <si>
    <t>RESSOURCES</t>
  </si>
  <si>
    <t xml:space="preserve">apprenants du CFA </t>
  </si>
  <si>
    <t xml:space="preserve">apprentis de la section </t>
  </si>
  <si>
    <r>
      <t xml:space="preserve">FRAIS DE PERSONNEL  
</t>
    </r>
    <r>
      <rPr>
        <b/>
        <sz val="10"/>
        <rFont val="Verdana"/>
        <family val="2"/>
      </rPr>
      <t>CM</t>
    </r>
    <r>
      <rPr>
        <sz val="10"/>
        <rFont val="Verdana"/>
        <family val="2"/>
      </rPr>
      <t xml:space="preserve"> ETD  </t>
    </r>
  </si>
  <si>
    <r>
      <t xml:space="preserve">FRAIS DE PERSONNEL  
</t>
    </r>
    <r>
      <rPr>
        <b/>
        <sz val="10"/>
        <rFont val="Verdana"/>
        <family val="2"/>
      </rPr>
      <t xml:space="preserve">TD </t>
    </r>
    <r>
      <rPr>
        <sz val="10"/>
        <rFont val="Verdana"/>
        <family val="2"/>
      </rPr>
      <t xml:space="preserve"> ETD  </t>
    </r>
  </si>
  <si>
    <t xml:space="preserve">SIEGE CFA </t>
  </si>
  <si>
    <t xml:space="preserve">SIEGE CFA  </t>
  </si>
  <si>
    <t xml:space="preserve">apprenants de l'université </t>
  </si>
  <si>
    <t>Heures d'enseignement Année civile</t>
  </si>
  <si>
    <t>Frais directs</t>
  </si>
  <si>
    <t>Autres - CVEC (rétrocession)</t>
  </si>
  <si>
    <t>Professeur</t>
  </si>
  <si>
    <t>Maître de conférence</t>
  </si>
  <si>
    <t>Second degré</t>
  </si>
  <si>
    <t>Doctorant</t>
  </si>
  <si>
    <t>Vacataire fonctionnaire</t>
  </si>
  <si>
    <t>Total</t>
  </si>
  <si>
    <r>
      <t xml:space="preserve">FRAIS DE PERSONNEL  
</t>
    </r>
    <r>
      <rPr>
        <b/>
        <sz val="10"/>
        <rFont val="Verdana"/>
        <family val="2"/>
      </rPr>
      <t xml:space="preserve">TP </t>
    </r>
    <r>
      <rPr>
        <sz val="10"/>
        <rFont val="Verdana"/>
        <family val="2"/>
      </rPr>
      <t xml:space="preserve"> ETD  </t>
    </r>
  </si>
  <si>
    <t>Vacataire non fonctionnaire</t>
  </si>
  <si>
    <t>Composante</t>
  </si>
  <si>
    <t>Département</t>
  </si>
  <si>
    <t>Université</t>
  </si>
  <si>
    <t>Champ libre</t>
  </si>
  <si>
    <t>Autres frais annexes</t>
  </si>
  <si>
    <t>Accompagnement</t>
  </si>
  <si>
    <t>Pédagogie</t>
  </si>
  <si>
    <t>Investissements pédago. &gt; à 3 ans</t>
  </si>
  <si>
    <t>Autres investissements &gt; 3 ans</t>
  </si>
  <si>
    <t>COMMUNICATION</t>
  </si>
  <si>
    <t>Communication et frais de réseaux</t>
  </si>
  <si>
    <t>STRUCTURE ET FONCTIONS SUPPORTS</t>
  </si>
  <si>
    <t>FRAIS ANNEXES A LA FORMATION</t>
  </si>
  <si>
    <t>DOTATIONS AUX AMORTISSEMENTS</t>
  </si>
  <si>
    <t>AUTRES CHARGES INCORPORABLES</t>
  </si>
  <si>
    <t>Autres charges incorporables (à préciser)</t>
  </si>
  <si>
    <t>Hébergement</t>
  </si>
  <si>
    <t>Restauration</t>
  </si>
  <si>
    <t>Transport des apprentis</t>
  </si>
  <si>
    <t>Base de l'assiette de dépenses
(choix composante, université, département)</t>
  </si>
  <si>
    <t>Base de l'assiette de produits
(choix composante, université, département)</t>
  </si>
  <si>
    <t>PRODUITS ISSUS DE LA PRISE EN CHARGE DES CONTRATS D'APPRENTISSAGE</t>
  </si>
  <si>
    <t>Neutralisation dotations aux amortissements</t>
  </si>
  <si>
    <t>TRANSFERTS DE CHARGES</t>
  </si>
  <si>
    <t>REMBOURSEMENTS DES FRAIS ANNEXES</t>
  </si>
  <si>
    <t>PARTICIPATION DES FAMILLES</t>
  </si>
  <si>
    <t>QP DE SUBVENTION RELATIVE A DES INVESTISSEMENTS</t>
  </si>
  <si>
    <t>Transferts de charges</t>
  </si>
  <si>
    <t>Remboursements des frais annexes</t>
  </si>
  <si>
    <t>Participation des familles</t>
  </si>
  <si>
    <t>Investissements &gt; à 3 ans</t>
  </si>
  <si>
    <t>AUTRES PRODUITS INCORPORABLES</t>
  </si>
  <si>
    <t>Autres produits incorporables (à préciser)</t>
  </si>
  <si>
    <t>TOTAL RESSOURCES FORMATION</t>
  </si>
  <si>
    <t>AUTRES PRODUITS RELATIFS A L'APPRENTISSAGE (subventions d'exploitation, autres facturations)</t>
  </si>
  <si>
    <t>Investissements pédago. &lt;= à 3 ans</t>
  </si>
  <si>
    <t>Autres investissements &lt;= 3 ans</t>
  </si>
  <si>
    <t>CHARGES NON INCORPORABLES</t>
  </si>
  <si>
    <t>Charges financières</t>
  </si>
  <si>
    <t>Charges exceptionnelles</t>
  </si>
  <si>
    <t>Autres charges non incorporables (à préciser)</t>
  </si>
  <si>
    <t>TOTAL CHARGES NON INCORPORABLES</t>
  </si>
  <si>
    <t>PRODUITS NON INCORPORABLES</t>
  </si>
  <si>
    <t>Produits financiers</t>
  </si>
  <si>
    <t>Produits exceptionnels</t>
  </si>
  <si>
    <t>Autres produits non incorporables (à préciser)</t>
  </si>
  <si>
    <t>TOTAL PRODUITS NON INCORPORABLES</t>
  </si>
  <si>
    <t>Investissements &lt;= à 3 ans</t>
  </si>
  <si>
    <t>ACCOMPAGNEMENT</t>
  </si>
  <si>
    <t>PÉDAGOGIE</t>
  </si>
  <si>
    <t xml:space="preserve">Ratio heures d'accompagnement / apprenti (pour information) </t>
  </si>
  <si>
    <t xml:space="preserve">Heures totales CM + TD + TP de la formation non proratisées (pour information) </t>
  </si>
  <si>
    <t>Attention : l'application de ces coefficients se fait automatiquement en colonne E, I et M.</t>
  </si>
  <si>
    <t>Nombre de groupes :</t>
  </si>
  <si>
    <t>Nombre de promotions :</t>
  </si>
  <si>
    <t>Heures réelles ou prévisionnelles :</t>
  </si>
  <si>
    <t>Observations :</t>
  </si>
  <si>
    <t>Coût du personnel par apprentis de la composante</t>
  </si>
  <si>
    <t>Nombre d'apprentis de  la formation</t>
  </si>
  <si>
    <t xml:space="preserve">Coût de suivi non enseignant de la formation dédié aux apprentis </t>
  </si>
  <si>
    <t xml:space="preserve">Suivi des apprentis accompagnement </t>
  </si>
  <si>
    <t xml:space="preserve">Frais de personnel non enseignant </t>
  </si>
  <si>
    <t>Relation entreprises</t>
  </si>
  <si>
    <t>Au
31/12/2022</t>
  </si>
  <si>
    <t>Qualité des formations</t>
  </si>
  <si>
    <t>Technicien/ Technicien machine outil</t>
  </si>
  <si>
    <t>Enseignant contractuel (ATER Lecteur PAST,…)</t>
  </si>
  <si>
    <t>Année Civile 2023</t>
  </si>
  <si>
    <t>Au
31/12/2023</t>
  </si>
  <si>
    <t xml:space="preserve">UFA : </t>
  </si>
  <si>
    <t>Composante :</t>
  </si>
  <si>
    <t xml:space="preserve">Formation | Code RNCP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</si>
</sst>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\ &quot;€&quot;"/>
    <numFmt numFmtId="167" formatCode="_-* #,##0\ _€_-;\-* #,##0\ _€_-;_-* &quot;-&quot;??\ _€_-;_-@_-"/>
    <numFmt numFmtId="168" formatCode="#,##0_ ;\-#,##0\ "/>
    <numFmt numFmtId="169" formatCode="#,##0.00_ ;\-#,##0.00\ 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4"/>
      <color rgb="FFFF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11"/>
      <color theme="5" tint="-0.499984740745262"/>
      <name val="Verdana"/>
      <family val="2"/>
    </font>
    <font>
      <sz val="11"/>
      <color theme="5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sz val="11"/>
      <color theme="1"/>
      <name val="Verdana"/>
      <family val="2"/>
    </font>
    <font>
      <b/>
      <sz val="11"/>
      <color rgb="FFFF0000"/>
      <name val="Verdana"/>
      <family val="2"/>
    </font>
    <font>
      <sz val="11"/>
      <color theme="0"/>
      <name val="AbsaraSansTF-Light"/>
      <family val="3"/>
    </font>
    <font>
      <i/>
      <sz val="11"/>
      <color theme="0"/>
      <name val="Calibri"/>
      <family val="2"/>
      <scheme val="minor"/>
    </font>
    <font>
      <i/>
      <sz val="11"/>
      <color rgb="FF000000"/>
      <name val="AbsaraSansTF-Light"/>
      <family val="3"/>
    </font>
    <font>
      <i/>
      <sz val="11"/>
      <color theme="1"/>
      <name val="Calibri"/>
      <family val="2"/>
      <scheme val="minor"/>
    </font>
    <font>
      <sz val="11"/>
      <color rgb="FF000000"/>
      <name val="AbsaraSansTF-Light"/>
      <family val="3"/>
    </font>
    <font>
      <sz val="11"/>
      <color rgb="FFFF000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 tint="-0.499984740745262"/>
      <name val="Verdana"/>
      <family val="2"/>
    </font>
    <font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  <font>
      <b/>
      <sz val="14"/>
      <color theme="5" tint="-0.249977111117893"/>
      <name val="Verdana"/>
      <family val="2"/>
    </font>
    <font>
      <b/>
      <u/>
      <sz val="12"/>
      <color theme="0"/>
      <name val="Verdana"/>
      <family val="2"/>
    </font>
    <font>
      <sz val="11"/>
      <color theme="0"/>
      <name val="Verdana"/>
      <family val="2"/>
    </font>
    <font>
      <b/>
      <sz val="12"/>
      <color theme="5" tint="-0.249977111117893"/>
      <name val="Verdana"/>
      <family val="2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AbsaraSansTF-Light"/>
      <family val="3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11"/>
      <color theme="1"/>
      <name val="Verdana"/>
      <family val="2"/>
    </font>
    <font>
      <b/>
      <sz val="11"/>
      <color theme="5" tint="-0.249977111117893"/>
      <name val="Verdana"/>
      <family val="2"/>
    </font>
    <font>
      <sz val="10"/>
      <color theme="5" tint="-0.499984740745262"/>
      <name val="Verdan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theme="6" tint="0.24994659260841701"/>
      <name val="Calibri"/>
      <family val="2"/>
      <scheme val="minor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2"/>
      <color theme="3"/>
      <name val="Calibri"/>
      <family val="2"/>
      <scheme val="minor"/>
    </font>
    <font>
      <i/>
      <sz val="11"/>
      <color theme="5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gray125">
        <bgColor rgb="FFFFC000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rgb="FFF8FAAA"/>
        <bgColor indexed="64"/>
      </patternFill>
    </fill>
    <fill>
      <patternFill patternType="solid">
        <fgColor rgb="FFEEF599"/>
        <bgColor indexed="64"/>
      </patternFill>
    </fill>
    <fill>
      <patternFill patternType="solid">
        <fgColor rgb="FFE9EDBB"/>
        <bgColor indexed="64"/>
      </patternFill>
    </fill>
    <fill>
      <patternFill patternType="solid">
        <fgColor rgb="FFDFE274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12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52" fillId="0" borderId="0"/>
    <xf numFmtId="0" fontId="9" fillId="0" borderId="0"/>
    <xf numFmtId="0" fontId="1" fillId="0" borderId="0"/>
    <xf numFmtId="0" fontId="53" fillId="21" borderId="0" applyNumberFormat="0" applyBorder="0" applyAlignment="0" applyProtection="0"/>
    <xf numFmtId="0" fontId="46" fillId="0" borderId="0" applyNumberFormat="0" applyBorder="0" applyAlignment="0" applyProtection="0"/>
    <xf numFmtId="0" fontId="54" fillId="22" borderId="0" applyNumberFormat="0" applyBorder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5" fillId="2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6" fillId="0" borderId="51" applyNumberFormat="0" applyFill="0" applyBorder="0" applyAlignment="0" applyProtection="0"/>
  </cellStyleXfs>
  <cellXfs count="400">
    <xf numFmtId="0" fontId="0" fillId="0" borderId="0" xfId="0"/>
    <xf numFmtId="0" fontId="2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" fillId="0" borderId="0" xfId="2" applyFont="1" applyAlignment="1" applyProtection="1">
      <alignment vertical="center"/>
    </xf>
    <xf numFmtId="4" fontId="3" fillId="0" borderId="0" xfId="2" applyNumberFormat="1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horizontal="right" vertical="center"/>
    </xf>
    <xf numFmtId="0" fontId="10" fillId="8" borderId="0" xfId="0" applyFont="1" applyFill="1" applyAlignment="1" applyProtection="1">
      <alignment vertical="center"/>
    </xf>
    <xf numFmtId="0" fontId="10" fillId="8" borderId="0" xfId="0" applyFont="1" applyFill="1" applyAlignment="1" applyProtection="1">
      <alignment horizontal="left" vertical="center"/>
    </xf>
    <xf numFmtId="0" fontId="10" fillId="8" borderId="0" xfId="0" applyFont="1" applyFill="1" applyAlignment="1" applyProtection="1">
      <alignment horizontal="center" vertical="center"/>
    </xf>
    <xf numFmtId="4" fontId="6" fillId="8" borderId="0" xfId="0" applyNumberFormat="1" applyFont="1" applyFill="1" applyAlignment="1" applyProtection="1">
      <alignment horizontal="left" vertical="center"/>
    </xf>
    <xf numFmtId="0" fontId="5" fillId="8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vertical="center"/>
    </xf>
    <xf numFmtId="4" fontId="2" fillId="8" borderId="0" xfId="0" applyNumberFormat="1" applyFont="1" applyFill="1" applyAlignment="1" applyProtection="1">
      <alignment vertical="center"/>
    </xf>
    <xf numFmtId="0" fontId="10" fillId="8" borderId="0" xfId="0" applyFont="1" applyFill="1" applyBorder="1" applyAlignment="1" applyProtection="1">
      <alignment vertical="center"/>
    </xf>
    <xf numFmtId="10" fontId="10" fillId="8" borderId="0" xfId="1" applyNumberFormat="1" applyFont="1" applyFill="1" applyBorder="1" applyAlignment="1" applyProtection="1">
      <alignment horizontal="center" vertical="center"/>
    </xf>
    <xf numFmtId="0" fontId="33" fillId="8" borderId="0" xfId="0" applyFont="1" applyFill="1" applyAlignment="1" applyProtection="1">
      <alignment horizontal="center" vertical="center"/>
    </xf>
    <xf numFmtId="0" fontId="10" fillId="8" borderId="0" xfId="0" applyFont="1" applyFill="1" applyAlignment="1" applyProtection="1">
      <alignment horizontal="center" vertical="center" wrapText="1"/>
    </xf>
    <xf numFmtId="0" fontId="2" fillId="8" borderId="0" xfId="0" applyFont="1" applyFill="1" applyAlignment="1" applyProtection="1">
      <alignment horizontal="center" vertical="center" wrapText="1"/>
    </xf>
    <xf numFmtId="0" fontId="36" fillId="8" borderId="0" xfId="0" applyFont="1" applyFill="1" applyAlignment="1" applyProtection="1">
      <alignment vertical="center"/>
    </xf>
    <xf numFmtId="0" fontId="34" fillId="8" borderId="0" xfId="0" applyFont="1" applyFill="1" applyAlignment="1" applyProtection="1">
      <alignment vertical="center"/>
    </xf>
    <xf numFmtId="0" fontId="35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0" fillId="0" borderId="3" xfId="0" applyFont="1" applyBorder="1"/>
    <xf numFmtId="10" fontId="40" fillId="0" borderId="3" xfId="1" applyNumberFormat="1" applyFont="1" applyFill="1" applyBorder="1" applyAlignment="1" applyProtection="1">
      <alignment horizontal="center" vertical="center"/>
    </xf>
    <xf numFmtId="0" fontId="27" fillId="10" borderId="1" xfId="0" applyFont="1" applyFill="1" applyBorder="1" applyAlignment="1" applyProtection="1">
      <alignment vertical="center"/>
    </xf>
    <xf numFmtId="0" fontId="34" fillId="11" borderId="1" xfId="0" applyFont="1" applyFill="1" applyBorder="1" applyAlignment="1" applyProtection="1">
      <alignment vertical="center"/>
    </xf>
    <xf numFmtId="0" fontId="35" fillId="11" borderId="2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/>
    </xf>
    <xf numFmtId="0" fontId="4" fillId="11" borderId="2" xfId="0" applyFont="1" applyFill="1" applyBorder="1" applyAlignment="1" applyProtection="1">
      <alignment horizontal="left" vertical="center"/>
    </xf>
    <xf numFmtId="0" fontId="5" fillId="11" borderId="2" xfId="0" applyFont="1" applyFill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vertical="center"/>
    </xf>
    <xf numFmtId="0" fontId="10" fillId="3" borderId="29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167" fontId="2" fillId="11" borderId="18" xfId="4" applyNumberFormat="1" applyFont="1" applyFill="1" applyBorder="1" applyAlignment="1" applyProtection="1">
      <alignment vertical="center"/>
    </xf>
    <xf numFmtId="167" fontId="2" fillId="8" borderId="0" xfId="4" applyNumberFormat="1" applyFont="1" applyFill="1" applyAlignment="1" applyProtection="1">
      <alignment vertical="center"/>
    </xf>
    <xf numFmtId="167" fontId="2" fillId="11" borderId="2" xfId="4" applyNumberFormat="1" applyFont="1" applyFill="1" applyBorder="1" applyAlignment="1" applyProtection="1">
      <alignment vertical="center"/>
    </xf>
    <xf numFmtId="167" fontId="10" fillId="3" borderId="29" xfId="4" applyNumberFormat="1" applyFont="1" applyFill="1" applyBorder="1" applyAlignment="1" applyProtection="1">
      <alignment horizontal="center" vertical="center"/>
    </xf>
    <xf numFmtId="167" fontId="16" fillId="3" borderId="29" xfId="4" applyNumberFormat="1" applyFont="1" applyFill="1" applyBorder="1" applyAlignment="1" applyProtection="1">
      <alignment horizontal="left" vertical="center"/>
    </xf>
    <xf numFmtId="167" fontId="10" fillId="3" borderId="0" xfId="4" applyNumberFormat="1" applyFont="1" applyFill="1" applyBorder="1" applyAlignment="1" applyProtection="1">
      <alignment horizontal="center" vertical="center"/>
    </xf>
    <xf numFmtId="167" fontId="16" fillId="3" borderId="0" xfId="4" applyNumberFormat="1" applyFont="1" applyFill="1" applyBorder="1" applyAlignment="1" applyProtection="1">
      <alignment horizontal="left" vertical="center"/>
    </xf>
    <xf numFmtId="167" fontId="10" fillId="3" borderId="17" xfId="4" applyNumberFormat="1" applyFont="1" applyFill="1" applyBorder="1" applyAlignment="1" applyProtection="1">
      <alignment horizontal="center" vertical="center"/>
    </xf>
    <xf numFmtId="167" fontId="16" fillId="3" borderId="17" xfId="4" applyNumberFormat="1" applyFont="1" applyFill="1" applyBorder="1" applyAlignment="1" applyProtection="1">
      <alignment horizontal="left" vertical="center"/>
    </xf>
    <xf numFmtId="167" fontId="6" fillId="11" borderId="2" xfId="4" applyNumberFormat="1" applyFont="1" applyFill="1" applyBorder="1" applyAlignment="1" applyProtection="1">
      <alignment horizontal="left" vertical="center"/>
    </xf>
    <xf numFmtId="167" fontId="5" fillId="11" borderId="2" xfId="4" applyNumberFormat="1" applyFont="1" applyFill="1" applyBorder="1" applyAlignment="1" applyProtection="1">
      <alignment horizontal="center" vertical="center"/>
    </xf>
    <xf numFmtId="167" fontId="6" fillId="8" borderId="0" xfId="4" applyNumberFormat="1" applyFont="1" applyFill="1" applyAlignment="1" applyProtection="1">
      <alignment horizontal="left" vertical="center"/>
    </xf>
    <xf numFmtId="167" fontId="5" fillId="8" borderId="0" xfId="4" applyNumberFormat="1" applyFont="1" applyFill="1" applyAlignment="1" applyProtection="1">
      <alignment horizontal="center" vertical="center"/>
    </xf>
    <xf numFmtId="167" fontId="7" fillId="0" borderId="0" xfId="4" applyNumberFormat="1" applyFont="1" applyAlignment="1" applyProtection="1">
      <alignment horizontal="center" vertical="center"/>
    </xf>
    <xf numFmtId="167" fontId="10" fillId="11" borderId="2" xfId="4" applyNumberFormat="1" applyFont="1" applyFill="1" applyBorder="1" applyAlignment="1" applyProtection="1">
      <alignment horizontal="center" vertical="center"/>
    </xf>
    <xf numFmtId="167" fontId="10" fillId="8" borderId="0" xfId="4" applyNumberFormat="1" applyFont="1" applyFill="1" applyAlignment="1" applyProtection="1">
      <alignment horizontal="center" vertical="center"/>
    </xf>
    <xf numFmtId="167" fontId="10" fillId="3" borderId="29" xfId="4" applyNumberFormat="1" applyFont="1" applyFill="1" applyBorder="1" applyAlignment="1" applyProtection="1">
      <alignment vertical="center"/>
    </xf>
    <xf numFmtId="167" fontId="10" fillId="3" borderId="0" xfId="4" applyNumberFormat="1" applyFont="1" applyFill="1" applyBorder="1" applyAlignment="1" applyProtection="1">
      <alignment vertical="center"/>
    </xf>
    <xf numFmtId="167" fontId="10" fillId="3" borderId="17" xfId="4" applyNumberFormat="1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  <protection locked="0"/>
    </xf>
    <xf numFmtId="0" fontId="10" fillId="3" borderId="21" xfId="0" applyFont="1" applyFill="1" applyBorder="1" applyAlignment="1" applyProtection="1">
      <alignment vertical="center"/>
      <protection locked="0"/>
    </xf>
    <xf numFmtId="0" fontId="10" fillId="3" borderId="30" xfId="0" applyFont="1" applyFill="1" applyBorder="1" applyAlignment="1" applyProtection="1">
      <alignment vertical="center"/>
      <protection locked="0"/>
    </xf>
    <xf numFmtId="167" fontId="20" fillId="2" borderId="3" xfId="4" applyNumberFormat="1" applyFont="1" applyFill="1" applyBorder="1" applyAlignment="1" applyProtection="1">
      <alignment horizontal="right"/>
      <protection locked="0"/>
    </xf>
    <xf numFmtId="3" fontId="19" fillId="7" borderId="3" xfId="0" applyNumberFormat="1" applyFont="1" applyFill="1" applyBorder="1" applyAlignment="1" applyProtection="1">
      <alignment horizontal="left" vertical="center" wrapText="1" indent="7" readingOrder="1"/>
      <protection locked="0"/>
    </xf>
    <xf numFmtId="167" fontId="24" fillId="13" borderId="3" xfId="4" applyNumberFormat="1" applyFont="1" applyFill="1" applyBorder="1" applyAlignment="1" applyProtection="1">
      <alignment horizontal="right"/>
      <protection locked="0"/>
    </xf>
    <xf numFmtId="4" fontId="2" fillId="4" borderId="6" xfId="0" applyNumberFormat="1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/>
    </xf>
    <xf numFmtId="1" fontId="3" fillId="4" borderId="9" xfId="0" applyNumberFormat="1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167" fontId="20" fillId="2" borderId="18" xfId="4" applyNumberFormat="1" applyFont="1" applyFill="1" applyBorder="1" applyAlignment="1" applyProtection="1">
      <alignment horizontal="right"/>
      <protection locked="0"/>
    </xf>
    <xf numFmtId="0" fontId="2" fillId="8" borderId="44" xfId="0" applyFont="1" applyFill="1" applyBorder="1" applyAlignment="1" applyProtection="1">
      <alignment vertical="center"/>
    </xf>
    <xf numFmtId="0" fontId="2" fillId="8" borderId="45" xfId="0" applyFont="1" applyFill="1" applyBorder="1" applyAlignment="1" applyProtection="1">
      <alignment vertical="center"/>
    </xf>
    <xf numFmtId="0" fontId="2" fillId="8" borderId="46" xfId="0" applyFont="1" applyFill="1" applyBorder="1" applyAlignment="1" applyProtection="1">
      <alignment vertical="center"/>
    </xf>
    <xf numFmtId="0" fontId="42" fillId="8" borderId="9" xfId="0" applyFont="1" applyFill="1" applyBorder="1" applyAlignment="1" applyProtection="1">
      <alignment horizontal="center" vertical="center" wrapText="1"/>
    </xf>
    <xf numFmtId="0" fontId="42" fillId="8" borderId="36" xfId="0" applyFont="1" applyFill="1" applyBorder="1" applyAlignment="1" applyProtection="1">
      <alignment horizontal="center" vertical="center" wrapText="1"/>
    </xf>
    <xf numFmtId="0" fontId="42" fillId="8" borderId="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horizontal="center" vertical="center" wrapText="1"/>
    </xf>
    <xf numFmtId="167" fontId="3" fillId="4" borderId="8" xfId="4" applyNumberFormat="1" applyFont="1" applyFill="1" applyBorder="1" applyAlignment="1" applyProtection="1">
      <alignment horizontal="center" vertical="center"/>
    </xf>
    <xf numFmtId="167" fontId="2" fillId="0" borderId="27" xfId="4" applyNumberFormat="1" applyFont="1" applyFill="1" applyBorder="1" applyAlignment="1" applyProtection="1">
      <alignment horizontal="center" vertical="center" wrapText="1"/>
    </xf>
    <xf numFmtId="167" fontId="2" fillId="0" borderId="25" xfId="4" applyNumberFormat="1" applyFont="1" applyFill="1" applyBorder="1" applyAlignment="1" applyProtection="1">
      <alignment horizontal="center" vertical="center" wrapText="1"/>
    </xf>
    <xf numFmtId="167" fontId="3" fillId="4" borderId="5" xfId="4" applyNumberFormat="1" applyFont="1" applyFill="1" applyBorder="1" applyAlignment="1" applyProtection="1">
      <alignment horizontal="center" vertical="center"/>
    </xf>
    <xf numFmtId="167" fontId="3" fillId="4" borderId="6" xfId="4" applyNumberFormat="1" applyFont="1" applyFill="1" applyBorder="1" applyAlignment="1" applyProtection="1">
      <alignment horizontal="center" vertical="center"/>
    </xf>
    <xf numFmtId="167" fontId="20" fillId="16" borderId="33" xfId="4" applyNumberFormat="1" applyFont="1" applyFill="1" applyBorder="1" applyAlignment="1" applyProtection="1">
      <alignment horizontal="right"/>
      <protection locked="0"/>
    </xf>
    <xf numFmtId="167" fontId="20" fillId="16" borderId="15" xfId="4" applyNumberFormat="1" applyFont="1" applyFill="1" applyBorder="1" applyAlignment="1" applyProtection="1">
      <alignment horizontal="right"/>
      <protection locked="0"/>
    </xf>
    <xf numFmtId="4" fontId="3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67" fontId="3" fillId="4" borderId="36" xfId="4" applyNumberFormat="1" applyFont="1" applyFill="1" applyBorder="1" applyAlignment="1" applyProtection="1">
      <alignment horizontal="center" vertical="center"/>
    </xf>
    <xf numFmtId="167" fontId="3" fillId="4" borderId="7" xfId="4" applyNumberFormat="1" applyFont="1" applyFill="1" applyBorder="1" applyAlignment="1" applyProtection="1">
      <alignment horizontal="center" vertical="center"/>
    </xf>
    <xf numFmtId="167" fontId="3" fillId="4" borderId="9" xfId="4" applyNumberFormat="1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vertical="center"/>
    </xf>
    <xf numFmtId="167" fontId="11" fillId="3" borderId="29" xfId="4" applyNumberFormat="1" applyFont="1" applyFill="1" applyBorder="1" applyProtection="1"/>
    <xf numFmtId="167" fontId="0" fillId="3" borderId="29" xfId="4" applyNumberFormat="1" applyFont="1" applyFill="1" applyBorder="1" applyProtection="1"/>
    <xf numFmtId="0" fontId="0" fillId="3" borderId="29" xfId="0" applyFont="1" applyFill="1" applyBorder="1" applyProtection="1"/>
    <xf numFmtId="167" fontId="0" fillId="3" borderId="23" xfId="4" applyNumberFormat="1" applyFont="1" applyFill="1" applyBorder="1" applyProtection="1"/>
    <xf numFmtId="0" fontId="0" fillId="0" borderId="0" xfId="0" applyFont="1" applyProtection="1"/>
    <xf numFmtId="0" fontId="10" fillId="3" borderId="21" xfId="0" applyFont="1" applyFill="1" applyBorder="1" applyAlignment="1" applyProtection="1">
      <alignment vertical="center"/>
    </xf>
    <xf numFmtId="167" fontId="11" fillId="3" borderId="0" xfId="4" applyNumberFormat="1" applyFont="1" applyFill="1" applyBorder="1" applyProtection="1"/>
    <xf numFmtId="167" fontId="0" fillId="3" borderId="0" xfId="4" applyNumberFormat="1" applyFont="1" applyFill="1" applyBorder="1" applyProtection="1"/>
    <xf numFmtId="0" fontId="0" fillId="3" borderId="0" xfId="0" applyFont="1" applyFill="1" applyBorder="1" applyProtection="1"/>
    <xf numFmtId="167" fontId="0" fillId="3" borderId="28" xfId="4" applyNumberFormat="1" applyFont="1" applyFill="1" applyBorder="1" applyProtection="1"/>
    <xf numFmtId="0" fontId="10" fillId="3" borderId="30" xfId="0" applyFont="1" applyFill="1" applyBorder="1" applyAlignment="1" applyProtection="1">
      <alignment vertical="center"/>
    </xf>
    <xf numFmtId="167" fontId="11" fillId="3" borderId="17" xfId="4" applyNumberFormat="1" applyFont="1" applyFill="1" applyBorder="1" applyProtection="1"/>
    <xf numFmtId="167" fontId="0" fillId="3" borderId="17" xfId="4" applyNumberFormat="1" applyFont="1" applyFill="1" applyBorder="1" applyProtection="1"/>
    <xf numFmtId="0" fontId="0" fillId="3" borderId="17" xfId="0" applyFont="1" applyFill="1" applyBorder="1" applyProtection="1"/>
    <xf numFmtId="167" fontId="0" fillId="3" borderId="31" xfId="4" applyNumberFormat="1" applyFont="1" applyFill="1" applyBorder="1" applyProtection="1"/>
    <xf numFmtId="167" fontId="0" fillId="0" borderId="0" xfId="4" applyNumberFormat="1" applyFont="1" applyProtection="1"/>
    <xf numFmtId="0" fontId="0" fillId="0" borderId="0" xfId="0" applyFont="1" applyAlignment="1" applyProtection="1">
      <alignment horizontal="center" vertical="center"/>
    </xf>
    <xf numFmtId="167" fontId="0" fillId="0" borderId="0" xfId="4" applyNumberFormat="1" applyFont="1" applyAlignment="1" applyProtection="1">
      <alignment horizontal="center"/>
    </xf>
    <xf numFmtId="0" fontId="15" fillId="11" borderId="2" xfId="0" applyFont="1" applyFill="1" applyBorder="1" applyProtection="1"/>
    <xf numFmtId="0" fontId="15" fillId="8" borderId="0" xfId="0" applyFont="1" applyFill="1" applyProtection="1"/>
    <xf numFmtId="0" fontId="10" fillId="8" borderId="0" xfId="0" applyFont="1" applyFill="1" applyProtection="1"/>
    <xf numFmtId="0" fontId="15" fillId="0" borderId="0" xfId="0" applyFont="1" applyProtection="1"/>
    <xf numFmtId="3" fontId="24" fillId="0" borderId="5" xfId="0" applyNumberFormat="1" applyFont="1" applyFill="1" applyBorder="1" applyAlignment="1" applyProtection="1">
      <alignment horizontal="center" vertical="center" wrapText="1"/>
    </xf>
    <xf numFmtId="3" fontId="24" fillId="0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167" fontId="20" fillId="16" borderId="10" xfId="4" applyNumberFormat="1" applyFont="1" applyFill="1" applyBorder="1" applyAlignment="1" applyProtection="1">
      <alignment horizontal="right"/>
    </xf>
    <xf numFmtId="10" fontId="20" fillId="16" borderId="27" xfId="1" applyNumberFormat="1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167" fontId="20" fillId="16" borderId="3" xfId="4" applyNumberFormat="1" applyFont="1" applyFill="1" applyBorder="1" applyAlignment="1" applyProtection="1">
      <alignment horizontal="right"/>
    </xf>
    <xf numFmtId="10" fontId="20" fillId="16" borderId="25" xfId="1" applyNumberFormat="1" applyFont="1" applyFill="1" applyBorder="1" applyAlignment="1" applyProtection="1">
      <alignment horizontal="center"/>
    </xf>
    <xf numFmtId="167" fontId="20" fillId="16" borderId="15" xfId="4" applyNumberFormat="1" applyFont="1" applyFill="1" applyBorder="1" applyAlignment="1" applyProtection="1">
      <alignment horizontal="right"/>
    </xf>
    <xf numFmtId="10" fontId="20" fillId="16" borderId="26" xfId="1" applyNumberFormat="1" applyFont="1" applyFill="1" applyBorder="1" applyAlignment="1" applyProtection="1">
      <alignment horizontal="center"/>
    </xf>
    <xf numFmtId="167" fontId="10" fillId="8" borderId="0" xfId="4" applyNumberFormat="1" applyFont="1" applyFill="1" applyBorder="1" applyProtection="1"/>
    <xf numFmtId="165" fontId="2" fillId="0" borderId="0" xfId="2" applyNumberFormat="1" applyFont="1" applyFill="1" applyBorder="1" applyAlignment="1" applyProtection="1">
      <alignment vertical="center"/>
    </xf>
    <xf numFmtId="0" fontId="15" fillId="0" borderId="0" xfId="0" applyFont="1" applyAlignment="1" applyProtection="1"/>
    <xf numFmtId="0" fontId="15" fillId="0" borderId="0" xfId="0" applyFont="1" applyFill="1" applyProtection="1"/>
    <xf numFmtId="0" fontId="43" fillId="0" borderId="0" xfId="0" applyFont="1" applyFill="1" applyProtection="1"/>
    <xf numFmtId="0" fontId="0" fillId="0" borderId="0" xfId="0" applyAlignment="1" applyProtection="1"/>
    <xf numFmtId="166" fontId="3" fillId="0" borderId="0" xfId="0" applyNumberFormat="1" applyFont="1" applyFill="1" applyBorder="1" applyAlignment="1" applyProtection="1">
      <alignment horizontal="center" vertical="top" wrapText="1"/>
    </xf>
    <xf numFmtId="0" fontId="2" fillId="4" borderId="36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166" fontId="3" fillId="4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13" fillId="0" borderId="0" xfId="0" applyFont="1" applyProtection="1"/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44" fillId="8" borderId="0" xfId="0" applyFont="1" applyFill="1" applyBorder="1" applyAlignment="1" applyProtection="1">
      <alignment vertical="center"/>
    </xf>
    <xf numFmtId="0" fontId="43" fillId="0" borderId="0" xfId="0" applyFont="1" applyBorder="1" applyProtection="1"/>
    <xf numFmtId="0" fontId="43" fillId="0" borderId="0" xfId="0" applyFont="1" applyFill="1" applyBorder="1" applyProtection="1"/>
    <xf numFmtId="164" fontId="7" fillId="2" borderId="4" xfId="4" applyFont="1" applyFill="1" applyBorder="1" applyAlignment="1" applyProtection="1">
      <alignment horizontal="left" vertical="center"/>
      <protection locked="0"/>
    </xf>
    <xf numFmtId="164" fontId="7" fillId="2" borderId="44" xfId="4" applyFont="1" applyFill="1" applyBorder="1" applyAlignment="1" applyProtection="1">
      <alignment horizontal="left" vertical="center"/>
      <protection locked="0"/>
    </xf>
    <xf numFmtId="164" fontId="7" fillId="2" borderId="45" xfId="4" applyFont="1" applyFill="1" applyBorder="1" applyAlignment="1" applyProtection="1">
      <alignment horizontal="left" vertical="center"/>
      <protection locked="0"/>
    </xf>
    <xf numFmtId="0" fontId="8" fillId="4" borderId="37" xfId="0" applyFont="1" applyFill="1" applyBorder="1" applyAlignment="1" applyProtection="1">
      <alignment horizontal="center" vertical="center"/>
    </xf>
    <xf numFmtId="0" fontId="43" fillId="4" borderId="48" xfId="0" applyFont="1" applyFill="1" applyBorder="1" applyAlignment="1" applyProtection="1">
      <alignment horizontal="center" vertical="center"/>
    </xf>
    <xf numFmtId="0" fontId="8" fillId="4" borderId="47" xfId="0" applyFont="1" applyFill="1" applyBorder="1" applyAlignment="1" applyProtection="1">
      <alignment horizontal="center" vertical="center"/>
    </xf>
    <xf numFmtId="0" fontId="43" fillId="4" borderId="1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</xf>
    <xf numFmtId="0" fontId="43" fillId="4" borderId="49" xfId="0" applyFont="1" applyFill="1" applyBorder="1" applyAlignment="1" applyProtection="1">
      <alignment horizontal="center" vertical="center"/>
    </xf>
    <xf numFmtId="0" fontId="29" fillId="0" borderId="0" xfId="0" applyFont="1" applyProtection="1"/>
    <xf numFmtId="167" fontId="29" fillId="0" borderId="0" xfId="4" applyNumberFormat="1" applyFont="1" applyAlignment="1" applyProtection="1">
      <alignment horizontal="center" vertical="center"/>
    </xf>
    <xf numFmtId="3" fontId="17" fillId="5" borderId="3" xfId="0" applyNumberFormat="1" applyFont="1" applyFill="1" applyBorder="1" applyAlignment="1" applyProtection="1">
      <alignment horizontal="left" vertical="center" wrapText="1" indent="2" readingOrder="1"/>
    </xf>
    <xf numFmtId="164" fontId="12" fillId="5" borderId="3" xfId="4" applyFont="1" applyFill="1" applyBorder="1" applyAlignment="1" applyProtection="1">
      <alignment horizontal="right"/>
    </xf>
    <xf numFmtId="10" fontId="18" fillId="5" borderId="3" xfId="1" applyNumberFormat="1" applyFont="1" applyFill="1" applyBorder="1" applyAlignment="1" applyProtection="1">
      <alignment horizontal="center"/>
    </xf>
    <xf numFmtId="167" fontId="12" fillId="6" borderId="3" xfId="4" applyNumberFormat="1" applyFont="1" applyFill="1" applyBorder="1" applyAlignment="1" applyProtection="1">
      <alignment horizontal="right" vertical="center"/>
    </xf>
    <xf numFmtId="10" fontId="12" fillId="6" borderId="3" xfId="1" applyNumberFormat="1" applyFont="1" applyFill="1" applyBorder="1" applyAlignment="1" applyProtection="1">
      <alignment horizontal="center" vertical="center"/>
    </xf>
    <xf numFmtId="3" fontId="19" fillId="7" borderId="3" xfId="0" applyNumberFormat="1" applyFont="1" applyFill="1" applyBorder="1" applyAlignment="1" applyProtection="1">
      <alignment horizontal="left" vertical="center" wrapText="1" indent="7" readingOrder="1"/>
    </xf>
    <xf numFmtId="10" fontId="20" fillId="0" borderId="3" xfId="1" applyNumberFormat="1" applyFont="1" applyBorder="1" applyAlignment="1" applyProtection="1">
      <alignment horizontal="center"/>
    </xf>
    <xf numFmtId="3" fontId="39" fillId="5" borderId="3" xfId="0" applyNumberFormat="1" applyFont="1" applyFill="1" applyBorder="1" applyAlignment="1" applyProtection="1">
      <alignment horizontal="right" vertical="center" wrapText="1" readingOrder="1"/>
    </xf>
    <xf numFmtId="167" fontId="23" fillId="5" borderId="3" xfId="4" applyNumberFormat="1" applyFont="1" applyFill="1" applyBorder="1" applyAlignment="1" applyProtection="1">
      <alignment horizontal="right" vertical="center"/>
    </xf>
    <xf numFmtId="10" fontId="41" fillId="5" borderId="3" xfId="1" applyNumberFormat="1" applyFont="1" applyFill="1" applyBorder="1" applyAlignment="1" applyProtection="1">
      <alignment horizontal="center"/>
    </xf>
    <xf numFmtId="167" fontId="23" fillId="6" borderId="3" xfId="4" applyNumberFormat="1" applyFont="1" applyFill="1" applyBorder="1" applyAlignment="1" applyProtection="1">
      <alignment horizontal="right" vertical="center"/>
    </xf>
    <xf numFmtId="10" fontId="23" fillId="6" borderId="3" xfId="1" applyNumberFormat="1" applyFont="1" applyFill="1" applyBorder="1" applyAlignment="1" applyProtection="1">
      <alignment horizontal="center" vertical="center"/>
    </xf>
    <xf numFmtId="9" fontId="28" fillId="0" borderId="0" xfId="1" applyFont="1" applyAlignment="1" applyProtection="1">
      <alignment horizontal="left"/>
    </xf>
    <xf numFmtId="0" fontId="30" fillId="0" borderId="0" xfId="0" applyFont="1" applyProtection="1"/>
    <xf numFmtId="10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9" fontId="45" fillId="3" borderId="29" xfId="1" applyFont="1" applyFill="1" applyBorder="1" applyAlignment="1" applyProtection="1">
      <alignment horizontal="center" vertical="center"/>
    </xf>
    <xf numFmtId="9" fontId="45" fillId="3" borderId="0" xfId="1" applyFont="1" applyFill="1" applyBorder="1" applyAlignment="1" applyProtection="1">
      <alignment horizontal="center" vertical="center"/>
    </xf>
    <xf numFmtId="9" fontId="45" fillId="3" borderId="17" xfId="1" applyFont="1" applyFill="1" applyBorder="1" applyAlignment="1" applyProtection="1">
      <alignment horizontal="center" vertical="center"/>
    </xf>
    <xf numFmtId="9" fontId="45" fillId="11" borderId="2" xfId="1" applyFont="1" applyFill="1" applyBorder="1" applyAlignment="1" applyProtection="1">
      <alignment horizontal="center" vertical="center"/>
    </xf>
    <xf numFmtId="9" fontId="45" fillId="8" borderId="0" xfId="1" applyFont="1" applyFill="1" applyAlignment="1" applyProtection="1">
      <alignment horizontal="center" vertical="center"/>
    </xf>
    <xf numFmtId="9" fontId="2" fillId="0" borderId="0" xfId="1" applyFont="1" applyAlignment="1" applyProtection="1">
      <alignment horizontal="center" vertical="center"/>
    </xf>
    <xf numFmtId="9" fontId="50" fillId="0" borderId="0" xfId="1" applyFont="1" applyAlignment="1" applyProtection="1">
      <alignment horizontal="center" vertical="center"/>
    </xf>
    <xf numFmtId="0" fontId="46" fillId="0" borderId="0" xfId="0" applyFont="1" applyProtection="1"/>
    <xf numFmtId="0" fontId="51" fillId="0" borderId="0" xfId="0" applyFont="1" applyProtection="1"/>
    <xf numFmtId="0" fontId="0" fillId="8" borderId="0" xfId="0" applyFont="1" applyFill="1" applyProtection="1"/>
    <xf numFmtId="0" fontId="0" fillId="10" borderId="2" xfId="0" applyFont="1" applyFill="1" applyBorder="1" applyProtection="1"/>
    <xf numFmtId="167" fontId="0" fillId="10" borderId="2" xfId="4" applyNumberFormat="1" applyFont="1" applyFill="1" applyBorder="1" applyProtection="1"/>
    <xf numFmtId="0" fontId="0" fillId="10" borderId="2" xfId="0" applyFont="1" applyFill="1" applyBorder="1" applyAlignment="1" applyProtection="1">
      <alignment horizontal="center" vertical="center"/>
    </xf>
    <xf numFmtId="167" fontId="0" fillId="10" borderId="2" xfId="4" applyNumberFormat="1" applyFont="1" applyFill="1" applyBorder="1" applyAlignment="1" applyProtection="1">
      <alignment horizontal="center"/>
    </xf>
    <xf numFmtId="9" fontId="46" fillId="10" borderId="2" xfId="1" applyFont="1" applyFill="1" applyBorder="1" applyAlignment="1" applyProtection="1">
      <alignment horizontal="center"/>
    </xf>
    <xf numFmtId="167" fontId="0" fillId="10" borderId="18" xfId="4" applyNumberFormat="1" applyFont="1" applyFill="1" applyBorder="1" applyProtection="1"/>
    <xf numFmtId="167" fontId="0" fillId="0" borderId="0" xfId="4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23" fillId="12" borderId="3" xfId="0" applyFont="1" applyFill="1" applyBorder="1" applyProtection="1"/>
    <xf numFmtId="0" fontId="0" fillId="0" borderId="0" xfId="0" applyFont="1" applyAlignment="1" applyProtection="1">
      <alignment vertical="top"/>
    </xf>
    <xf numFmtId="0" fontId="24" fillId="0" borderId="0" xfId="0" applyFont="1" applyProtection="1"/>
    <xf numFmtId="167" fontId="25" fillId="5" borderId="3" xfId="4" applyNumberFormat="1" applyFont="1" applyFill="1" applyBorder="1" applyAlignment="1" applyProtection="1">
      <alignment horizontal="center" vertical="center" wrapText="1"/>
    </xf>
    <xf numFmtId="0" fontId="25" fillId="5" borderId="3" xfId="0" applyFont="1" applyFill="1" applyBorder="1" applyAlignment="1" applyProtection="1">
      <alignment horizontal="center" vertical="center" wrapText="1"/>
    </xf>
    <xf numFmtId="0" fontId="25" fillId="5" borderId="3" xfId="0" applyFont="1" applyFill="1" applyBorder="1" applyAlignment="1" applyProtection="1">
      <alignment horizontal="center" vertical="center"/>
    </xf>
    <xf numFmtId="167" fontId="25" fillId="6" borderId="3" xfId="4" applyNumberFormat="1" applyFont="1" applyFill="1" applyBorder="1" applyAlignment="1" applyProtection="1">
      <alignment horizontal="center" vertical="center" wrapText="1"/>
    </xf>
    <xf numFmtId="0" fontId="25" fillId="6" borderId="3" xfId="0" applyFont="1" applyFill="1" applyBorder="1" applyAlignment="1" applyProtection="1">
      <alignment horizontal="center" vertical="center"/>
    </xf>
    <xf numFmtId="3" fontId="0" fillId="0" borderId="0" xfId="0" applyNumberFormat="1" applyFont="1" applyProtection="1"/>
    <xf numFmtId="164" fontId="12" fillId="5" borderId="3" xfId="4" applyFont="1" applyFill="1" applyBorder="1" applyAlignment="1" applyProtection="1">
      <alignment horizontal="right" vertical="center"/>
    </xf>
    <xf numFmtId="9" fontId="47" fillId="5" borderId="3" xfId="1" applyFont="1" applyFill="1" applyBorder="1" applyAlignment="1" applyProtection="1">
      <alignment horizontal="center"/>
    </xf>
    <xf numFmtId="9" fontId="47" fillId="6" borderId="3" xfId="1" applyFont="1" applyFill="1" applyBorder="1" applyAlignment="1" applyProtection="1">
      <alignment horizontal="center" vertical="center"/>
    </xf>
    <xf numFmtId="9" fontId="47" fillId="9" borderId="3" xfId="1" applyFont="1" applyFill="1" applyBorder="1" applyAlignment="1" applyProtection="1">
      <alignment horizontal="center"/>
    </xf>
    <xf numFmtId="10" fontId="20" fillId="14" borderId="3" xfId="1" applyNumberFormat="1" applyFont="1" applyFill="1" applyBorder="1" applyAlignment="1" applyProtection="1">
      <alignment horizontal="center"/>
    </xf>
    <xf numFmtId="10" fontId="12" fillId="5" borderId="3" xfId="1" applyNumberFormat="1" applyFont="1" applyFill="1" applyBorder="1" applyAlignment="1" applyProtection="1">
      <alignment horizontal="center"/>
    </xf>
    <xf numFmtId="9" fontId="48" fillId="0" borderId="3" xfId="1" applyFont="1" applyBorder="1" applyAlignment="1" applyProtection="1">
      <alignment horizontal="center"/>
    </xf>
    <xf numFmtId="167" fontId="48" fillId="0" borderId="3" xfId="4" applyNumberFormat="1" applyFont="1" applyBorder="1" applyAlignment="1" applyProtection="1">
      <alignment horizontal="center"/>
    </xf>
    <xf numFmtId="9" fontId="49" fillId="5" borderId="3" xfId="1" applyFont="1" applyFill="1" applyBorder="1" applyAlignment="1" applyProtection="1">
      <alignment horizontal="center"/>
    </xf>
    <xf numFmtId="9" fontId="46" fillId="0" borderId="0" xfId="1" applyFont="1" applyProtection="1"/>
    <xf numFmtId="0" fontId="20" fillId="0" borderId="0" xfId="0" quotePrefix="1" applyFont="1" applyProtection="1"/>
    <xf numFmtId="167" fontId="24" fillId="0" borderId="0" xfId="4" applyNumberFormat="1" applyFont="1" applyAlignment="1" applyProtection="1">
      <alignment horizontal="right"/>
    </xf>
    <xf numFmtId="0" fontId="24" fillId="0" borderId="0" xfId="0" applyFont="1" applyAlignment="1" applyProtection="1">
      <alignment horizontal="right"/>
    </xf>
    <xf numFmtId="0" fontId="0" fillId="0" borderId="0" xfId="0" quotePrefix="1" applyFont="1" applyProtection="1"/>
    <xf numFmtId="0" fontId="24" fillId="0" borderId="0" xfId="0" applyFont="1" applyAlignment="1" applyProtection="1">
      <alignment vertical="top"/>
    </xf>
    <xf numFmtId="2" fontId="0" fillId="0" borderId="0" xfId="0" applyNumberFormat="1" applyFont="1" applyAlignment="1" applyProtection="1"/>
    <xf numFmtId="3" fontId="17" fillId="5" borderId="3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Font="1" applyAlignment="1" applyProtection="1">
      <alignment vertical="center"/>
    </xf>
    <xf numFmtId="9" fontId="47" fillId="5" borderId="3" xfId="1" applyFont="1" applyFill="1" applyBorder="1" applyAlignment="1" applyProtection="1">
      <alignment horizontal="center" vertical="center"/>
    </xf>
    <xf numFmtId="9" fontId="47" fillId="9" borderId="3" xfId="1" applyFont="1" applyFill="1" applyBorder="1" applyAlignment="1" applyProtection="1">
      <alignment horizontal="center" vertical="center"/>
    </xf>
    <xf numFmtId="3" fontId="21" fillId="7" borderId="3" xfId="0" applyNumberFormat="1" applyFont="1" applyFill="1" applyBorder="1" applyAlignment="1" applyProtection="1">
      <alignment horizontal="left" vertical="center" wrapText="1" indent="7" readingOrder="1"/>
    </xf>
    <xf numFmtId="3" fontId="20" fillId="14" borderId="3" xfId="0" applyNumberFormat="1" applyFont="1" applyFill="1" applyBorder="1" applyAlignment="1" applyProtection="1">
      <alignment horizontal="right"/>
    </xf>
    <xf numFmtId="167" fontId="48" fillId="0" borderId="3" xfId="4" applyNumberFormat="1" applyFont="1" applyBorder="1" applyAlignment="1" applyProtection="1">
      <alignment horizontal="right"/>
    </xf>
    <xf numFmtId="9" fontId="46" fillId="0" borderId="0" xfId="1" applyFont="1" applyAlignment="1" applyProtection="1">
      <alignment horizontal="center"/>
    </xf>
    <xf numFmtId="0" fontId="2" fillId="0" borderId="32" xfId="0" applyFont="1" applyFill="1" applyBorder="1" applyAlignment="1" applyProtection="1">
      <alignment vertical="center" wrapText="1"/>
    </xf>
    <xf numFmtId="0" fontId="25" fillId="6" borderId="3" xfId="0" applyFont="1" applyFill="1" applyBorder="1" applyAlignment="1" applyProtection="1">
      <alignment horizontal="center" vertical="center"/>
    </xf>
    <xf numFmtId="167" fontId="25" fillId="6" borderId="3" xfId="4" applyNumberFormat="1" applyFont="1" applyFill="1" applyBorder="1" applyAlignment="1" applyProtection="1">
      <alignment horizontal="center" vertical="center" wrapText="1"/>
    </xf>
    <xf numFmtId="167" fontId="48" fillId="0" borderId="13" xfId="4" applyNumberFormat="1" applyFont="1" applyBorder="1" applyAlignment="1" applyProtection="1"/>
    <xf numFmtId="167" fontId="48" fillId="0" borderId="19" xfId="4" applyNumberFormat="1" applyFont="1" applyBorder="1" applyAlignment="1" applyProtection="1"/>
    <xf numFmtId="167" fontId="48" fillId="0" borderId="10" xfId="4" applyNumberFormat="1" applyFont="1" applyBorder="1" applyAlignment="1" applyProtection="1"/>
    <xf numFmtId="0" fontId="3" fillId="4" borderId="5" xfId="0" applyFont="1" applyFill="1" applyBorder="1" applyAlignment="1" applyProtection="1">
      <alignment horizontal="center" vertical="center"/>
    </xf>
    <xf numFmtId="9" fontId="0" fillId="0" borderId="0" xfId="1" applyFont="1" applyProtection="1"/>
    <xf numFmtId="167" fontId="0" fillId="0" borderId="0" xfId="0" applyNumberFormat="1" applyFont="1" applyProtection="1"/>
    <xf numFmtId="0" fontId="15" fillId="0" borderId="0" xfId="0" applyFont="1" applyAlignment="1" applyProtection="1">
      <alignment horizontal="right"/>
    </xf>
    <xf numFmtId="164" fontId="2" fillId="2" borderId="10" xfId="4" applyFont="1" applyFill="1" applyBorder="1" applyAlignment="1" applyProtection="1">
      <alignment horizontal="center" vertical="center" wrapText="1"/>
      <protection locked="0"/>
    </xf>
    <xf numFmtId="168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vertical="center"/>
    </xf>
    <xf numFmtId="7" fontId="2" fillId="0" borderId="27" xfId="4" applyNumberFormat="1" applyFont="1" applyFill="1" applyBorder="1" applyAlignment="1" applyProtection="1">
      <alignment horizontal="center" vertical="center" wrapText="1"/>
    </xf>
    <xf numFmtId="7" fontId="2" fillId="0" borderId="25" xfId="4" applyNumberFormat="1" applyFont="1" applyFill="1" applyBorder="1" applyAlignment="1" applyProtection="1">
      <alignment horizontal="center" vertical="center" wrapText="1"/>
    </xf>
    <xf numFmtId="7" fontId="2" fillId="0" borderId="35" xfId="4" applyNumberFormat="1" applyFont="1" applyFill="1" applyBorder="1" applyAlignment="1" applyProtection="1">
      <alignment horizontal="center" vertical="center" wrapText="1"/>
    </xf>
    <xf numFmtId="7" fontId="3" fillId="4" borderId="6" xfId="4" applyNumberFormat="1" applyFont="1" applyFill="1" applyBorder="1" applyAlignment="1" applyProtection="1">
      <alignment horizontal="center" vertical="center"/>
    </xf>
    <xf numFmtId="169" fontId="2" fillId="2" borderId="14" xfId="4" applyNumberFormat="1" applyFont="1" applyFill="1" applyBorder="1" applyAlignment="1" applyProtection="1">
      <alignment horizontal="center" vertical="center"/>
      <protection locked="0"/>
    </xf>
    <xf numFmtId="169" fontId="2" fillId="2" borderId="10" xfId="4" applyNumberFormat="1" applyFont="1" applyFill="1" applyBorder="1" applyAlignment="1" applyProtection="1">
      <alignment horizontal="center" vertical="center"/>
      <protection locked="0"/>
    </xf>
    <xf numFmtId="2" fontId="2" fillId="2" borderId="14" xfId="4" applyNumberFormat="1" applyFont="1" applyFill="1" applyBorder="1" applyAlignment="1" applyProtection="1">
      <alignment horizontal="center" vertical="center"/>
      <protection locked="0"/>
    </xf>
    <xf numFmtId="2" fontId="2" fillId="2" borderId="10" xfId="4" applyNumberFormat="1" applyFont="1" applyFill="1" applyBorder="1" applyAlignment="1" applyProtection="1">
      <alignment horizontal="center" vertical="center"/>
      <protection locked="0"/>
    </xf>
    <xf numFmtId="2" fontId="2" fillId="2" borderId="42" xfId="4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42" xfId="0" applyNumberFormat="1" applyFont="1" applyFill="1" applyBorder="1" applyAlignment="1" applyProtection="1">
      <alignment horizontal="center" vertical="center"/>
      <protection locked="0"/>
    </xf>
    <xf numFmtId="169" fontId="2" fillId="2" borderId="31" xfId="4" applyNumberFormat="1" applyFont="1" applyFill="1" applyBorder="1" applyAlignment="1" applyProtection="1">
      <alignment horizontal="center" vertical="top" wrapText="1"/>
      <protection locked="0"/>
    </xf>
    <xf numFmtId="169" fontId="2" fillId="2" borderId="10" xfId="4" applyNumberFormat="1" applyFont="1" applyFill="1" applyBorder="1" applyAlignment="1" applyProtection="1">
      <alignment horizontal="center" vertical="top" wrapText="1"/>
      <protection locked="0"/>
    </xf>
    <xf numFmtId="169" fontId="2" fillId="2" borderId="38" xfId="4" applyNumberFormat="1" applyFont="1" applyFill="1" applyBorder="1" applyAlignment="1" applyProtection="1">
      <alignment horizontal="center" vertical="center"/>
      <protection locked="0"/>
    </xf>
    <xf numFmtId="169" fontId="2" fillId="0" borderId="27" xfId="4" applyNumberFormat="1" applyFont="1" applyFill="1" applyBorder="1" applyAlignment="1" applyProtection="1">
      <alignment horizontal="center" vertical="center" wrapText="1"/>
    </xf>
    <xf numFmtId="169" fontId="2" fillId="2" borderId="39" xfId="4" applyNumberFormat="1" applyFont="1" applyFill="1" applyBorder="1" applyAlignment="1" applyProtection="1">
      <alignment horizontal="center" vertical="center"/>
      <protection locked="0"/>
    </xf>
    <xf numFmtId="169" fontId="2" fillId="0" borderId="25" xfId="4" applyNumberFormat="1" applyFont="1" applyFill="1" applyBorder="1" applyAlignment="1" applyProtection="1">
      <alignment horizontal="center" vertical="center" wrapText="1"/>
    </xf>
    <xf numFmtId="2" fontId="2" fillId="0" borderId="44" xfId="4" applyNumberFormat="1" applyFont="1" applyFill="1" applyBorder="1" applyAlignment="1" applyProtection="1">
      <alignment horizontal="center" vertical="center" wrapText="1"/>
    </xf>
    <xf numFmtId="2" fontId="2" fillId="0" borderId="46" xfId="4" applyNumberFormat="1" applyFont="1" applyFill="1" applyBorder="1" applyAlignment="1" applyProtection="1">
      <alignment horizontal="center" vertical="center" wrapText="1"/>
    </xf>
    <xf numFmtId="2" fontId="3" fillId="4" borderId="9" xfId="4" applyNumberFormat="1" applyFont="1" applyFill="1" applyBorder="1" applyAlignment="1" applyProtection="1">
      <alignment horizontal="center" vertical="center"/>
    </xf>
    <xf numFmtId="2" fontId="12" fillId="5" borderId="3" xfId="4" applyNumberFormat="1" applyFont="1" applyFill="1" applyBorder="1" applyAlignment="1" applyProtection="1">
      <alignment horizontal="right"/>
    </xf>
    <xf numFmtId="2" fontId="12" fillId="5" borderId="3" xfId="4" applyNumberFormat="1" applyFont="1" applyFill="1" applyBorder="1" applyAlignment="1" applyProtection="1">
      <alignment horizontal="right" vertical="center"/>
    </xf>
    <xf numFmtId="2" fontId="20" fillId="15" borderId="3" xfId="4" applyNumberFormat="1" applyFont="1" applyFill="1" applyBorder="1" applyAlignment="1" applyProtection="1">
      <alignment horizontal="right"/>
    </xf>
    <xf numFmtId="2" fontId="20" fillId="2" borderId="3" xfId="4" applyNumberFormat="1" applyFont="1" applyFill="1" applyBorder="1" applyAlignment="1" applyProtection="1">
      <alignment horizontal="right" vertical="center"/>
      <protection locked="0"/>
    </xf>
    <xf numFmtId="2" fontId="20" fillId="2" borderId="3" xfId="4" applyNumberFormat="1" applyFont="1" applyFill="1" applyBorder="1" applyAlignment="1" applyProtection="1">
      <alignment horizontal="center"/>
      <protection locked="0"/>
    </xf>
    <xf numFmtId="2" fontId="20" fillId="14" borderId="3" xfId="4" applyNumberFormat="1" applyFont="1" applyFill="1" applyBorder="1" applyAlignment="1" applyProtection="1">
      <alignment horizontal="right"/>
    </xf>
    <xf numFmtId="2" fontId="20" fillId="14" borderId="3" xfId="4" applyNumberFormat="1" applyFont="1" applyFill="1" applyBorder="1" applyAlignment="1" applyProtection="1">
      <alignment horizontal="center"/>
    </xf>
    <xf numFmtId="2" fontId="23" fillId="5" borderId="3" xfId="4" applyNumberFormat="1" applyFont="1" applyFill="1" applyBorder="1" applyAlignment="1" applyProtection="1">
      <alignment horizontal="right" vertical="center"/>
    </xf>
    <xf numFmtId="2" fontId="23" fillId="5" borderId="3" xfId="4" applyNumberFormat="1" applyFont="1" applyFill="1" applyBorder="1" applyAlignment="1" applyProtection="1">
      <alignment horizontal="center" vertical="center"/>
    </xf>
    <xf numFmtId="2" fontId="29" fillId="0" borderId="0" xfId="4" applyNumberFormat="1" applyFont="1" applyAlignment="1" applyProtection="1">
      <alignment horizontal="center" vertical="center"/>
    </xf>
    <xf numFmtId="2" fontId="20" fillId="0" borderId="3" xfId="4" applyNumberFormat="1" applyFont="1" applyBorder="1" applyAlignment="1" applyProtection="1">
      <alignment horizontal="right"/>
    </xf>
    <xf numFmtId="2" fontId="23" fillId="5" borderId="3" xfId="4" applyNumberFormat="1" applyFont="1" applyFill="1" applyBorder="1" applyAlignment="1" applyProtection="1">
      <alignment horizontal="right"/>
    </xf>
    <xf numFmtId="2" fontId="12" fillId="6" borderId="3" xfId="4" applyNumberFormat="1" applyFont="1" applyFill="1" applyBorder="1" applyAlignment="1" applyProtection="1">
      <alignment horizontal="right" vertical="center"/>
    </xf>
    <xf numFmtId="2" fontId="20" fillId="13" borderId="3" xfId="4" applyNumberFormat="1" applyFont="1" applyFill="1" applyBorder="1" applyAlignment="1" applyProtection="1">
      <alignment horizontal="right" vertical="center"/>
      <protection locked="0"/>
    </xf>
    <xf numFmtId="2" fontId="20" fillId="13" borderId="3" xfId="4" applyNumberFormat="1" applyFont="1" applyFill="1" applyBorder="1" applyAlignment="1" applyProtection="1">
      <alignment horizontal="right"/>
      <protection locked="0"/>
    </xf>
    <xf numFmtId="2" fontId="23" fillId="6" borderId="3" xfId="4" applyNumberFormat="1" applyFont="1" applyFill="1" applyBorder="1" applyAlignment="1" applyProtection="1">
      <alignment horizontal="right" vertical="center"/>
    </xf>
    <xf numFmtId="2" fontId="12" fillId="9" borderId="3" xfId="4" applyNumberFormat="1" applyFont="1" applyFill="1" applyBorder="1" applyAlignment="1" applyProtection="1">
      <alignment horizontal="right"/>
    </xf>
    <xf numFmtId="2" fontId="23" fillId="9" borderId="3" xfId="4" applyNumberFormat="1" applyFont="1" applyFill="1" applyBorder="1" applyAlignment="1" applyProtection="1">
      <alignment horizontal="right"/>
    </xf>
    <xf numFmtId="2" fontId="20" fillId="14" borderId="3" xfId="0" applyNumberFormat="1" applyFont="1" applyFill="1" applyBorder="1" applyAlignment="1" applyProtection="1">
      <alignment horizontal="right"/>
    </xf>
    <xf numFmtId="2" fontId="20" fillId="2" borderId="3" xfId="4" applyNumberFormat="1" applyFont="1" applyFill="1" applyBorder="1" applyAlignment="1" applyProtection="1">
      <alignment horizontal="right"/>
      <protection locked="0"/>
    </xf>
    <xf numFmtId="2" fontId="12" fillId="9" borderId="3" xfId="4" applyNumberFormat="1" applyFont="1" applyFill="1" applyBorder="1" applyAlignment="1" applyProtection="1">
      <alignment horizontal="center" vertical="center"/>
    </xf>
    <xf numFmtId="2" fontId="12" fillId="9" borderId="3" xfId="4" applyNumberFormat="1" applyFont="1" applyFill="1" applyBorder="1" applyAlignment="1" applyProtection="1">
      <alignment horizontal="right" vertical="center"/>
    </xf>
    <xf numFmtId="167" fontId="20" fillId="17" borderId="31" xfId="4" applyNumberFormat="1" applyFont="1" applyFill="1" applyBorder="1" applyAlignment="1" applyProtection="1">
      <alignment horizontal="right"/>
      <protection locked="0"/>
    </xf>
    <xf numFmtId="167" fontId="20" fillId="17" borderId="10" xfId="4" applyNumberFormat="1" applyFont="1" applyFill="1" applyBorder="1" applyAlignment="1" applyProtection="1">
      <alignment horizontal="right"/>
      <protection locked="0"/>
    </xf>
    <xf numFmtId="167" fontId="20" fillId="17" borderId="18" xfId="4" applyNumberFormat="1" applyFont="1" applyFill="1" applyBorder="1" applyAlignment="1" applyProtection="1">
      <alignment horizontal="right"/>
      <protection locked="0"/>
    </xf>
    <xf numFmtId="167" fontId="20" fillId="17" borderId="3" xfId="4" applyNumberFormat="1" applyFont="1" applyFill="1" applyBorder="1" applyAlignment="1" applyProtection="1">
      <alignment horizontal="right"/>
      <protection locked="0"/>
    </xf>
    <xf numFmtId="0" fontId="2" fillId="17" borderId="14" xfId="0" applyFont="1" applyFill="1" applyBorder="1" applyAlignment="1" applyProtection="1">
      <alignment horizontal="center" vertical="center"/>
      <protection locked="0"/>
    </xf>
    <xf numFmtId="0" fontId="2" fillId="17" borderId="10" xfId="0" applyFont="1" applyFill="1" applyBorder="1" applyAlignment="1" applyProtection="1">
      <alignment horizontal="center" vertical="center"/>
      <protection locked="0"/>
    </xf>
    <xf numFmtId="0" fontId="2" fillId="17" borderId="42" xfId="0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Protection="1"/>
    <xf numFmtId="4" fontId="2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/>
    <xf numFmtId="2" fontId="20" fillId="17" borderId="3" xfId="4" applyNumberFormat="1" applyFont="1" applyFill="1" applyBorder="1" applyAlignment="1" applyProtection="1">
      <alignment horizontal="right" vertical="center"/>
      <protection locked="0"/>
    </xf>
    <xf numFmtId="2" fontId="20" fillId="17" borderId="3" xfId="4" applyNumberFormat="1" applyFont="1" applyFill="1" applyBorder="1" applyAlignment="1" applyProtection="1">
      <alignment horizontal="right"/>
      <protection locked="0"/>
    </xf>
    <xf numFmtId="2" fontId="20" fillId="18" borderId="3" xfId="4" applyNumberFormat="1" applyFont="1" applyFill="1" applyBorder="1" applyAlignment="1" applyProtection="1">
      <alignment horizontal="right" vertical="center"/>
      <protection locked="0"/>
    </xf>
    <xf numFmtId="169" fontId="2" fillId="17" borderId="30" xfId="4" applyNumberFormat="1" applyFont="1" applyFill="1" applyBorder="1" applyAlignment="1" applyProtection="1">
      <alignment horizontal="center" vertical="top" wrapText="1"/>
      <protection locked="0"/>
    </xf>
    <xf numFmtId="169" fontId="2" fillId="8" borderId="44" xfId="4" applyNumberFormat="1" applyFont="1" applyFill="1" applyBorder="1" applyAlignment="1" applyProtection="1">
      <alignment horizontal="center" vertical="center"/>
    </xf>
    <xf numFmtId="2" fontId="2" fillId="17" borderId="30" xfId="0" applyNumberFormat="1" applyFont="1" applyFill="1" applyBorder="1" applyAlignment="1" applyProtection="1">
      <alignment horizontal="center" vertical="center"/>
      <protection locked="0"/>
    </xf>
    <xf numFmtId="0" fontId="2" fillId="19" borderId="11" xfId="0" applyFont="1" applyFill="1" applyBorder="1" applyAlignment="1" applyProtection="1">
      <alignment vertical="center"/>
    </xf>
    <xf numFmtId="0" fontId="2" fillId="19" borderId="7" xfId="0" applyFont="1" applyFill="1" applyBorder="1" applyAlignment="1" applyProtection="1">
      <alignment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8" borderId="0" xfId="0" applyFill="1" applyBorder="1"/>
    <xf numFmtId="169" fontId="2" fillId="17" borderId="10" xfId="0" applyNumberFormat="1" applyFont="1" applyFill="1" applyBorder="1" applyAlignment="1" applyProtection="1">
      <alignment horizontal="center" vertical="center"/>
      <protection locked="0"/>
    </xf>
    <xf numFmtId="167" fontId="57" fillId="2" borderId="3" xfId="4" applyNumberFormat="1" applyFont="1" applyFill="1" applyBorder="1" applyAlignment="1" applyProtection="1">
      <alignment horizontal="right"/>
      <protection locked="0"/>
    </xf>
    <xf numFmtId="2" fontId="20" fillId="25" borderId="3" xfId="4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3" fontId="38" fillId="0" borderId="0" xfId="0" applyNumberFormat="1" applyFont="1" applyFill="1" applyBorder="1" applyAlignment="1" applyProtection="1">
      <alignment horizontal="center" vertical="center"/>
    </xf>
    <xf numFmtId="0" fontId="14" fillId="5" borderId="0" xfId="0" applyNumberFormat="1" applyFont="1" applyFill="1" applyBorder="1" applyAlignment="1" applyProtection="1">
      <alignment horizontal="left" vertical="center" wrapText="1"/>
    </xf>
    <xf numFmtId="0" fontId="36" fillId="8" borderId="0" xfId="0" applyFont="1" applyFill="1" applyAlignment="1" applyProtection="1">
      <alignment horizontal="left" vertical="center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164" fontId="2" fillId="2" borderId="22" xfId="4" applyFont="1" applyFill="1" applyBorder="1" applyAlignment="1" applyProtection="1">
      <alignment horizontal="left" vertical="center" wrapText="1"/>
      <protection locked="0"/>
    </xf>
    <xf numFmtId="164" fontId="2" fillId="2" borderId="29" xfId="4" applyFont="1" applyFill="1" applyBorder="1" applyAlignment="1" applyProtection="1">
      <alignment horizontal="left" vertical="center" wrapText="1"/>
      <protection locked="0"/>
    </xf>
    <xf numFmtId="164" fontId="2" fillId="2" borderId="23" xfId="4" applyFont="1" applyFill="1" applyBorder="1" applyAlignment="1" applyProtection="1">
      <alignment horizontal="left" vertical="center" wrapText="1"/>
      <protection locked="0"/>
    </xf>
    <xf numFmtId="164" fontId="2" fillId="2" borderId="21" xfId="4" applyFont="1" applyFill="1" applyBorder="1" applyAlignment="1" applyProtection="1">
      <alignment horizontal="left" vertical="center" wrapText="1"/>
      <protection locked="0"/>
    </xf>
    <xf numFmtId="164" fontId="2" fillId="2" borderId="0" xfId="4" applyFont="1" applyFill="1" applyBorder="1" applyAlignment="1" applyProtection="1">
      <alignment horizontal="left" vertical="center" wrapText="1"/>
      <protection locked="0"/>
    </xf>
    <xf numFmtId="164" fontId="2" fillId="2" borderId="28" xfId="4" applyFont="1" applyFill="1" applyBorder="1" applyAlignment="1" applyProtection="1">
      <alignment horizontal="left" vertical="center" wrapText="1"/>
      <protection locked="0"/>
    </xf>
    <xf numFmtId="164" fontId="2" fillId="2" borderId="30" xfId="4" applyFont="1" applyFill="1" applyBorder="1" applyAlignment="1" applyProtection="1">
      <alignment horizontal="left" vertical="center" wrapText="1"/>
      <protection locked="0"/>
    </xf>
    <xf numFmtId="164" fontId="2" fillId="2" borderId="17" xfId="4" applyFont="1" applyFill="1" applyBorder="1" applyAlignment="1" applyProtection="1">
      <alignment horizontal="left" vertical="center" wrapText="1"/>
      <protection locked="0"/>
    </xf>
    <xf numFmtId="164" fontId="2" fillId="2" borderId="31" xfId="4" applyFont="1" applyFill="1" applyBorder="1" applyAlignment="1" applyProtection="1">
      <alignment horizontal="left" vertical="center" wrapText="1"/>
      <protection locked="0"/>
    </xf>
    <xf numFmtId="0" fontId="23" fillId="9" borderId="1" xfId="0" applyFont="1" applyFill="1" applyBorder="1" applyAlignment="1" applyProtection="1">
      <alignment horizontal="right" wrapText="1" readingOrder="1"/>
    </xf>
    <xf numFmtId="0" fontId="23" fillId="9" borderId="2" xfId="0" applyFont="1" applyFill="1" applyBorder="1" applyAlignment="1" applyProtection="1">
      <alignment horizontal="right" wrapText="1" readingOrder="1"/>
    </xf>
    <xf numFmtId="0" fontId="23" fillId="9" borderId="18" xfId="0" applyFont="1" applyFill="1" applyBorder="1" applyAlignment="1" applyProtection="1">
      <alignment horizontal="right" wrapText="1" readingOrder="1"/>
    </xf>
    <xf numFmtId="167" fontId="47" fillId="9" borderId="13" xfId="4" applyNumberFormat="1" applyFont="1" applyFill="1" applyBorder="1" applyAlignment="1" applyProtection="1">
      <alignment horizontal="center" vertical="center" wrapText="1"/>
    </xf>
    <xf numFmtId="167" fontId="46" fillId="0" borderId="19" xfId="4" applyNumberFormat="1" applyFont="1" applyBorder="1" applyAlignment="1" applyProtection="1">
      <alignment horizontal="center" wrapText="1"/>
    </xf>
    <xf numFmtId="167" fontId="46" fillId="0" borderId="10" xfId="4" applyNumberFormat="1" applyFont="1" applyBorder="1" applyAlignment="1" applyProtection="1">
      <alignment horizontal="center" wrapText="1"/>
    </xf>
    <xf numFmtId="167" fontId="48" fillId="0" borderId="13" xfId="4" applyNumberFormat="1" applyFont="1" applyBorder="1" applyAlignment="1" applyProtection="1">
      <alignment horizontal="center"/>
    </xf>
    <xf numFmtId="167" fontId="48" fillId="0" borderId="19" xfId="4" applyNumberFormat="1" applyFont="1" applyBorder="1" applyAlignment="1" applyProtection="1">
      <alignment horizontal="center"/>
    </xf>
    <xf numFmtId="167" fontId="48" fillId="0" borderId="10" xfId="4" applyNumberFormat="1" applyFont="1" applyBorder="1" applyAlignment="1" applyProtection="1">
      <alignment horizontal="center"/>
    </xf>
    <xf numFmtId="167" fontId="23" fillId="9" borderId="13" xfId="4" applyNumberFormat="1" applyFont="1" applyFill="1" applyBorder="1" applyAlignment="1" applyProtection="1">
      <alignment horizontal="center" vertical="center" wrapText="1"/>
    </xf>
    <xf numFmtId="167" fontId="24" fillId="0" borderId="19" xfId="4" applyNumberFormat="1" applyFont="1" applyBorder="1" applyAlignment="1" applyProtection="1">
      <alignment horizontal="center" wrapText="1"/>
    </xf>
    <xf numFmtId="167" fontId="24" fillId="0" borderId="10" xfId="4" applyNumberFormat="1" applyFont="1" applyBorder="1" applyAlignment="1" applyProtection="1">
      <alignment horizontal="center" wrapText="1"/>
    </xf>
    <xf numFmtId="167" fontId="25" fillId="6" borderId="10" xfId="4" applyNumberFormat="1" applyFont="1" applyFill="1" applyBorder="1" applyAlignment="1" applyProtection="1">
      <alignment horizontal="center" vertical="center" wrapText="1"/>
    </xf>
    <xf numFmtId="167" fontId="25" fillId="6" borderId="3" xfId="4" applyNumberFormat="1" applyFont="1" applyFill="1" applyBorder="1" applyAlignment="1" applyProtection="1">
      <alignment horizontal="center" vertical="center"/>
    </xf>
    <xf numFmtId="9" fontId="48" fillId="0" borderId="13" xfId="1" applyFont="1" applyBorder="1" applyAlignment="1" applyProtection="1">
      <alignment horizontal="center"/>
    </xf>
    <xf numFmtId="9" fontId="48" fillId="0" borderId="10" xfId="1" applyFont="1" applyBorder="1" applyAlignment="1" applyProtection="1">
      <alignment horizontal="center"/>
    </xf>
    <xf numFmtId="9" fontId="48" fillId="0" borderId="19" xfId="1" applyFont="1" applyBorder="1" applyAlignment="1" applyProtection="1">
      <alignment horizontal="center"/>
    </xf>
    <xf numFmtId="0" fontId="23" fillId="5" borderId="1" xfId="0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horizontal="center" vertical="center"/>
    </xf>
    <xf numFmtId="0" fontId="23" fillId="5" borderId="18" xfId="0" applyFont="1" applyFill="1" applyBorder="1" applyAlignment="1" applyProtection="1">
      <alignment horizontal="center" vertical="center"/>
    </xf>
    <xf numFmtId="0" fontId="23" fillId="6" borderId="1" xfId="0" applyFont="1" applyFill="1" applyBorder="1" applyAlignment="1" applyProtection="1">
      <alignment horizontal="center" vertical="center"/>
    </xf>
    <xf numFmtId="0" fontId="23" fillId="6" borderId="2" xfId="0" applyFont="1" applyFill="1" applyBorder="1" applyAlignment="1" applyProtection="1">
      <alignment horizontal="center" vertical="center"/>
    </xf>
    <xf numFmtId="0" fontId="23" fillId="6" borderId="18" xfId="0" applyFont="1" applyFill="1" applyBorder="1" applyAlignment="1" applyProtection="1">
      <alignment horizontal="center" vertical="center"/>
    </xf>
    <xf numFmtId="167" fontId="47" fillId="6" borderId="13" xfId="4" applyNumberFormat="1" applyFont="1" applyFill="1" applyBorder="1" applyAlignment="1" applyProtection="1">
      <alignment horizontal="center" vertical="center" wrapText="1"/>
    </xf>
    <xf numFmtId="167" fontId="47" fillId="6" borderId="10" xfId="4" applyNumberFormat="1" applyFont="1" applyFill="1" applyBorder="1" applyAlignment="1" applyProtection="1">
      <alignment horizontal="center" vertical="center" wrapText="1"/>
    </xf>
    <xf numFmtId="9" fontId="47" fillId="5" borderId="13" xfId="1" applyFont="1" applyFill="1" applyBorder="1" applyAlignment="1" applyProtection="1">
      <alignment horizontal="center" vertical="center" wrapText="1"/>
    </xf>
    <xf numFmtId="9" fontId="47" fillId="5" borderId="10" xfId="1" applyFont="1" applyFill="1" applyBorder="1" applyAlignment="1" applyProtection="1">
      <alignment horizontal="center" vertical="center" wrapText="1"/>
    </xf>
    <xf numFmtId="0" fontId="23" fillId="9" borderId="1" xfId="0" applyFont="1" applyFill="1" applyBorder="1" applyAlignment="1" applyProtection="1">
      <alignment horizontal="right" vertical="center" wrapText="1" readingOrder="1"/>
    </xf>
    <xf numFmtId="0" fontId="23" fillId="9" borderId="2" xfId="0" applyFont="1" applyFill="1" applyBorder="1" applyAlignment="1" applyProtection="1">
      <alignment horizontal="right" vertical="center" wrapText="1" readingOrder="1"/>
    </xf>
    <xf numFmtId="0" fontId="23" fillId="9" borderId="18" xfId="0" applyFont="1" applyFill="1" applyBorder="1" applyAlignment="1" applyProtection="1">
      <alignment horizontal="right" vertical="center" wrapText="1" readingOrder="1"/>
    </xf>
    <xf numFmtId="167" fontId="25" fillId="5" borderId="10" xfId="4" applyNumberFormat="1" applyFont="1" applyFill="1" applyBorder="1" applyAlignment="1" applyProtection="1">
      <alignment horizontal="center" vertical="center" wrapText="1"/>
    </xf>
    <xf numFmtId="167" fontId="25" fillId="5" borderId="3" xfId="4" applyNumberFormat="1" applyFont="1" applyFill="1" applyBorder="1" applyAlignment="1" applyProtection="1">
      <alignment horizontal="center" vertical="center"/>
    </xf>
    <xf numFmtId="0" fontId="25" fillId="5" borderId="10" xfId="0" applyFont="1" applyFill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167" fontId="25" fillId="6" borderId="31" xfId="4" applyNumberFormat="1" applyFont="1" applyFill="1" applyBorder="1" applyAlignment="1" applyProtection="1">
      <alignment horizontal="center" vertical="center" wrapText="1"/>
    </xf>
    <xf numFmtId="167" fontId="25" fillId="6" borderId="18" xfId="4" applyNumberFormat="1" applyFont="1" applyFill="1" applyBorder="1" applyAlignment="1" applyProtection="1">
      <alignment horizontal="center" vertical="center"/>
    </xf>
    <xf numFmtId="0" fontId="25" fillId="6" borderId="10" xfId="0" applyFont="1" applyFill="1" applyBorder="1" applyAlignment="1" applyProtection="1">
      <alignment horizontal="center" vertical="center"/>
    </xf>
    <xf numFmtId="0" fontId="26" fillId="6" borderId="10" xfId="0" applyFont="1" applyFill="1" applyBorder="1" applyAlignment="1" applyProtection="1">
      <alignment horizontal="center" vertical="center"/>
    </xf>
    <xf numFmtId="9" fontId="47" fillId="6" borderId="13" xfId="1" applyFont="1" applyFill="1" applyBorder="1" applyAlignment="1" applyProtection="1">
      <alignment horizontal="center" vertical="center" wrapText="1"/>
    </xf>
    <xf numFmtId="9" fontId="47" fillId="6" borderId="10" xfId="1" applyFont="1" applyFill="1" applyBorder="1" applyAlignment="1" applyProtection="1">
      <alignment horizontal="center" vertical="center" wrapText="1"/>
    </xf>
    <xf numFmtId="167" fontId="23" fillId="9" borderId="3" xfId="4" applyNumberFormat="1" applyFont="1" applyFill="1" applyBorder="1" applyAlignment="1" applyProtection="1">
      <alignment horizontal="center" vertical="center" wrapText="1"/>
    </xf>
    <xf numFmtId="167" fontId="24" fillId="0" borderId="3" xfId="4" applyNumberFormat="1" applyFont="1" applyBorder="1" applyAlignment="1" applyProtection="1">
      <alignment horizontal="center" wrapText="1"/>
    </xf>
    <xf numFmtId="167" fontId="25" fillId="6" borderId="18" xfId="4" applyNumberFormat="1" applyFont="1" applyFill="1" applyBorder="1" applyAlignment="1" applyProtection="1">
      <alignment horizontal="center" vertical="center" wrapText="1"/>
    </xf>
    <xf numFmtId="0" fontId="25" fillId="6" borderId="3" xfId="0" applyFont="1" applyFill="1" applyBorder="1" applyAlignment="1" applyProtection="1">
      <alignment horizontal="center" vertical="center"/>
    </xf>
    <xf numFmtId="0" fontId="26" fillId="6" borderId="3" xfId="0" applyFont="1" applyFill="1" applyBorder="1" applyAlignment="1" applyProtection="1">
      <alignment horizontal="center" vertical="center"/>
    </xf>
    <xf numFmtId="0" fontId="26" fillId="6" borderId="3" xfId="0" applyFont="1" applyFill="1" applyBorder="1" applyAlignment="1" applyProtection="1">
      <alignment vertical="center"/>
    </xf>
    <xf numFmtId="167" fontId="25" fillId="6" borderId="3" xfId="4" applyNumberFormat="1" applyFont="1" applyFill="1" applyBorder="1" applyAlignment="1" applyProtection="1">
      <alignment horizontal="center" vertical="center" wrapText="1"/>
    </xf>
    <xf numFmtId="167" fontId="47" fillId="9" borderId="3" xfId="4" applyNumberFormat="1" applyFont="1" applyFill="1" applyBorder="1" applyAlignment="1" applyProtection="1">
      <alignment horizontal="center" vertical="center" wrapText="1"/>
    </xf>
    <xf numFmtId="167" fontId="46" fillId="0" borderId="3" xfId="4" applyNumberFormat="1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vertical="center"/>
    </xf>
  </cellXfs>
  <cellStyles count="123">
    <cellStyle name="20 % - Accent1 2" xfId="8" xr:uid="{00000000-0005-0000-0000-000000000000}"/>
    <cellStyle name="20 % - Accent2 2" xfId="9" xr:uid="{00000000-0005-0000-0000-000001000000}"/>
    <cellStyle name="40 % - Accent1 2" xfId="10" xr:uid="{00000000-0005-0000-0000-000002000000}"/>
    <cellStyle name="40 % - Accent2 2" xfId="11" xr:uid="{00000000-0005-0000-0000-000003000000}"/>
    <cellStyle name="60 % - Accent1 2" xfId="12" xr:uid="{00000000-0005-0000-0000-000004000000}"/>
    <cellStyle name="60 % - Accent1 2 2" xfId="13" xr:uid="{00000000-0005-0000-0000-000005000000}"/>
    <cellStyle name="60 % - Accent1 2 3" xfId="14" xr:uid="{00000000-0005-0000-0000-000006000000}"/>
    <cellStyle name="60 % - Accent1 2 4" xfId="15" xr:uid="{00000000-0005-0000-0000-000007000000}"/>
    <cellStyle name="60 % - Accent1 2 5" xfId="16" xr:uid="{00000000-0005-0000-0000-000008000000}"/>
    <cellStyle name="60 % - Accent1 2 6" xfId="17" xr:uid="{00000000-0005-0000-0000-000009000000}"/>
    <cellStyle name="60 % - Accent1 2 7" xfId="18" xr:uid="{00000000-0005-0000-0000-00000A000000}"/>
    <cellStyle name="60 % - Accent1 2 8" xfId="19" xr:uid="{00000000-0005-0000-0000-00000B000000}"/>
    <cellStyle name="Accent1 2" xfId="20" xr:uid="{00000000-0005-0000-0000-00000C000000}"/>
    <cellStyle name="Milliers" xfId="4" builtinId="3"/>
    <cellStyle name="Milliers 2" xfId="21" xr:uid="{00000000-0005-0000-0000-00000E000000}"/>
    <cellStyle name="Normal" xfId="0" builtinId="0"/>
    <cellStyle name="Normal 10" xfId="22" xr:uid="{00000000-0005-0000-0000-000010000000}"/>
    <cellStyle name="Normal 11" xfId="23" xr:uid="{00000000-0005-0000-0000-000011000000}"/>
    <cellStyle name="Normal 12" xfId="24" xr:uid="{00000000-0005-0000-0000-000012000000}"/>
    <cellStyle name="Normal 13" xfId="25" xr:uid="{00000000-0005-0000-0000-000013000000}"/>
    <cellStyle name="Normal 14" xfId="26" xr:uid="{00000000-0005-0000-0000-000014000000}"/>
    <cellStyle name="Normal 15" xfId="27" xr:uid="{00000000-0005-0000-0000-000015000000}"/>
    <cellStyle name="Normal 16" xfId="28" xr:uid="{00000000-0005-0000-0000-000016000000}"/>
    <cellStyle name="Normal 17" xfId="29" xr:uid="{00000000-0005-0000-0000-000017000000}"/>
    <cellStyle name="Normal 18" xfId="30" xr:uid="{00000000-0005-0000-0000-000018000000}"/>
    <cellStyle name="Normal 19" xfId="7" xr:uid="{00000000-0005-0000-0000-000019000000}"/>
    <cellStyle name="Normal 2" xfId="3" xr:uid="{00000000-0005-0000-0000-00001A000000}"/>
    <cellStyle name="Normal 2 2" xfId="2" xr:uid="{00000000-0005-0000-0000-00001B000000}"/>
    <cellStyle name="Normal 2 2 10" xfId="32" xr:uid="{00000000-0005-0000-0000-00001C000000}"/>
    <cellStyle name="Normal 2 2 11" xfId="31" xr:uid="{00000000-0005-0000-0000-00001D000000}"/>
    <cellStyle name="Normal 2 2 2" xfId="33" xr:uid="{00000000-0005-0000-0000-00001E000000}"/>
    <cellStyle name="Normal 2 2 2 2" xfId="34" xr:uid="{00000000-0005-0000-0000-00001F000000}"/>
    <cellStyle name="Normal 2 2 2 3" xfId="35" xr:uid="{00000000-0005-0000-0000-000020000000}"/>
    <cellStyle name="Normal 2 2 2 4" xfId="36" xr:uid="{00000000-0005-0000-0000-000021000000}"/>
    <cellStyle name="Normal 2 2 2 5" xfId="37" xr:uid="{00000000-0005-0000-0000-000022000000}"/>
    <cellStyle name="Normal 2 2 2 6" xfId="38" xr:uid="{00000000-0005-0000-0000-000023000000}"/>
    <cellStyle name="Normal 2 2 2 7" xfId="39" xr:uid="{00000000-0005-0000-0000-000024000000}"/>
    <cellStyle name="Normal 2 2 2 8" xfId="40" xr:uid="{00000000-0005-0000-0000-000025000000}"/>
    <cellStyle name="Normal 2 2 3" xfId="41" xr:uid="{00000000-0005-0000-0000-000026000000}"/>
    <cellStyle name="Normal 2 2 4" xfId="42" xr:uid="{00000000-0005-0000-0000-000027000000}"/>
    <cellStyle name="Normal 2 2 5" xfId="43" xr:uid="{00000000-0005-0000-0000-000028000000}"/>
    <cellStyle name="Normal 2 2 6" xfId="44" xr:uid="{00000000-0005-0000-0000-000029000000}"/>
    <cellStyle name="Normal 2 2 7" xfId="45" xr:uid="{00000000-0005-0000-0000-00002A000000}"/>
    <cellStyle name="Normal 2 2 8" xfId="46" xr:uid="{00000000-0005-0000-0000-00002B000000}"/>
    <cellStyle name="Normal 2 2 9" xfId="47" xr:uid="{00000000-0005-0000-0000-00002C000000}"/>
    <cellStyle name="Normal 2 3" xfId="48" xr:uid="{00000000-0005-0000-0000-00002D000000}"/>
    <cellStyle name="Normal 2 4" xfId="49" xr:uid="{00000000-0005-0000-0000-00002E000000}"/>
    <cellStyle name="Normal 2 4 2" xfId="50" xr:uid="{00000000-0005-0000-0000-00002F000000}"/>
    <cellStyle name="Normal 2 5" xfId="51" xr:uid="{00000000-0005-0000-0000-000030000000}"/>
    <cellStyle name="Normal 2 6" xfId="52" xr:uid="{00000000-0005-0000-0000-000031000000}"/>
    <cellStyle name="Normal 2 7" xfId="5" xr:uid="{00000000-0005-0000-0000-000032000000}"/>
    <cellStyle name="Normal 3" xfId="6" xr:uid="{00000000-0005-0000-0000-000033000000}"/>
    <cellStyle name="Normal 3 2" xfId="53" xr:uid="{00000000-0005-0000-0000-000034000000}"/>
    <cellStyle name="Normal 3 3" xfId="54" xr:uid="{00000000-0005-0000-0000-000035000000}"/>
    <cellStyle name="Normal 3 3 2" xfId="55" xr:uid="{00000000-0005-0000-0000-000036000000}"/>
    <cellStyle name="Normal 3 3 3" xfId="56" xr:uid="{00000000-0005-0000-0000-000037000000}"/>
    <cellStyle name="Normal 3 3 4" xfId="57" xr:uid="{00000000-0005-0000-0000-000038000000}"/>
    <cellStyle name="Normal 3 3 5" xfId="58" xr:uid="{00000000-0005-0000-0000-000039000000}"/>
    <cellStyle name="Normal 3 3 6" xfId="59" xr:uid="{00000000-0005-0000-0000-00003A000000}"/>
    <cellStyle name="Normal 3 3 7" xfId="60" xr:uid="{00000000-0005-0000-0000-00003B000000}"/>
    <cellStyle name="Normal 3 3 8" xfId="61" xr:uid="{00000000-0005-0000-0000-00003C000000}"/>
    <cellStyle name="Normal 3 4" xfId="62" xr:uid="{00000000-0005-0000-0000-00003D000000}"/>
    <cellStyle name="Normal 3 5" xfId="63" xr:uid="{00000000-0005-0000-0000-00003E000000}"/>
    <cellStyle name="Normal 3 5 2" xfId="64" xr:uid="{00000000-0005-0000-0000-00003F000000}"/>
    <cellStyle name="Normal 3 5 3" xfId="65" xr:uid="{00000000-0005-0000-0000-000040000000}"/>
    <cellStyle name="Normal 3 5 4" xfId="66" xr:uid="{00000000-0005-0000-0000-000041000000}"/>
    <cellStyle name="Normal 3 5 5" xfId="67" xr:uid="{00000000-0005-0000-0000-000042000000}"/>
    <cellStyle name="Normal 3 5 6" xfId="68" xr:uid="{00000000-0005-0000-0000-000043000000}"/>
    <cellStyle name="Normal 3 5 7" xfId="69" xr:uid="{00000000-0005-0000-0000-000044000000}"/>
    <cellStyle name="Normal 3 5 8" xfId="70" xr:uid="{00000000-0005-0000-0000-000045000000}"/>
    <cellStyle name="Normal 4" xfId="71" xr:uid="{00000000-0005-0000-0000-000046000000}"/>
    <cellStyle name="Normal 4 10" xfId="72" xr:uid="{00000000-0005-0000-0000-000047000000}"/>
    <cellStyle name="Normal 4 11" xfId="73" xr:uid="{00000000-0005-0000-0000-000048000000}"/>
    <cellStyle name="Normal 4 2" xfId="74" xr:uid="{00000000-0005-0000-0000-000049000000}"/>
    <cellStyle name="Normal 4 3" xfId="75" xr:uid="{00000000-0005-0000-0000-00004A000000}"/>
    <cellStyle name="Normal 4 3 2" xfId="76" xr:uid="{00000000-0005-0000-0000-00004B000000}"/>
    <cellStyle name="Normal 4 3 3" xfId="77" xr:uid="{00000000-0005-0000-0000-00004C000000}"/>
    <cellStyle name="Normal 4 3 4" xfId="78" xr:uid="{00000000-0005-0000-0000-00004D000000}"/>
    <cellStyle name="Normal 4 3 5" xfId="79" xr:uid="{00000000-0005-0000-0000-00004E000000}"/>
    <cellStyle name="Normal 4 3 6" xfId="80" xr:uid="{00000000-0005-0000-0000-00004F000000}"/>
    <cellStyle name="Normal 4 3 7" xfId="81" xr:uid="{00000000-0005-0000-0000-000050000000}"/>
    <cellStyle name="Normal 4 3 8" xfId="82" xr:uid="{00000000-0005-0000-0000-000051000000}"/>
    <cellStyle name="Normal 4 4" xfId="83" xr:uid="{00000000-0005-0000-0000-000052000000}"/>
    <cellStyle name="Normal 4 5" xfId="84" xr:uid="{00000000-0005-0000-0000-000053000000}"/>
    <cellStyle name="Normal 4 6" xfId="85" xr:uid="{00000000-0005-0000-0000-000054000000}"/>
    <cellStyle name="Normal 4 7" xfId="86" xr:uid="{00000000-0005-0000-0000-000055000000}"/>
    <cellStyle name="Normal 4 8" xfId="87" xr:uid="{00000000-0005-0000-0000-000056000000}"/>
    <cellStyle name="Normal 4 9" xfId="88" xr:uid="{00000000-0005-0000-0000-000057000000}"/>
    <cellStyle name="Normal 5" xfId="89" xr:uid="{00000000-0005-0000-0000-000058000000}"/>
    <cellStyle name="Normal 6" xfId="90" xr:uid="{00000000-0005-0000-0000-000059000000}"/>
    <cellStyle name="Normal 7" xfId="91" xr:uid="{00000000-0005-0000-0000-00005A000000}"/>
    <cellStyle name="Normal 7 2" xfId="92" xr:uid="{00000000-0005-0000-0000-00005B000000}"/>
    <cellStyle name="Normal 7 3" xfId="93" xr:uid="{00000000-0005-0000-0000-00005C000000}"/>
    <cellStyle name="Normal 7 4" xfId="94" xr:uid="{00000000-0005-0000-0000-00005D000000}"/>
    <cellStyle name="Normal 7 5" xfId="95" xr:uid="{00000000-0005-0000-0000-00005E000000}"/>
    <cellStyle name="Normal 7 6" xfId="96" xr:uid="{00000000-0005-0000-0000-00005F000000}"/>
    <cellStyle name="Normal 7 7" xfId="97" xr:uid="{00000000-0005-0000-0000-000060000000}"/>
    <cellStyle name="Normal 7 8" xfId="98" xr:uid="{00000000-0005-0000-0000-000061000000}"/>
    <cellStyle name="Normal 8" xfId="99" xr:uid="{00000000-0005-0000-0000-000062000000}"/>
    <cellStyle name="Normal 8 2" xfId="100" xr:uid="{00000000-0005-0000-0000-000063000000}"/>
    <cellStyle name="Normal 9" xfId="101" xr:uid="{00000000-0005-0000-0000-000064000000}"/>
    <cellStyle name="Pourcentage" xfId="1" builtinId="5"/>
    <cellStyle name="Pourcentage 2" xfId="102" xr:uid="{00000000-0005-0000-0000-000066000000}"/>
    <cellStyle name="Pourcentage 3" xfId="103" xr:uid="{00000000-0005-0000-0000-000067000000}"/>
    <cellStyle name="Pourcentage 3 2" xfId="104" xr:uid="{00000000-0005-0000-0000-000068000000}"/>
    <cellStyle name="Pourcentage 3 2 2" xfId="105" xr:uid="{00000000-0005-0000-0000-000069000000}"/>
    <cellStyle name="Pourcentage 3 2 3" xfId="106" xr:uid="{00000000-0005-0000-0000-00006A000000}"/>
    <cellStyle name="Pourcentage 3 2 4" xfId="107" xr:uid="{00000000-0005-0000-0000-00006B000000}"/>
    <cellStyle name="Pourcentage 3 2 5" xfId="108" xr:uid="{00000000-0005-0000-0000-00006C000000}"/>
    <cellStyle name="Pourcentage 3 2 6" xfId="109" xr:uid="{00000000-0005-0000-0000-00006D000000}"/>
    <cellStyle name="Pourcentage 3 2 7" xfId="110" xr:uid="{00000000-0005-0000-0000-00006E000000}"/>
    <cellStyle name="Pourcentage 3 2 8" xfId="111" xr:uid="{00000000-0005-0000-0000-00006F000000}"/>
    <cellStyle name="Pourcentage 3 3" xfId="112" xr:uid="{00000000-0005-0000-0000-000070000000}"/>
    <cellStyle name="Pourcentage 3 4" xfId="113" xr:uid="{00000000-0005-0000-0000-000071000000}"/>
    <cellStyle name="Pourcentage 3 5" xfId="114" xr:uid="{00000000-0005-0000-0000-000072000000}"/>
    <cellStyle name="Pourcentage 3 6" xfId="115" xr:uid="{00000000-0005-0000-0000-000073000000}"/>
    <cellStyle name="Pourcentage 3 7" xfId="116" xr:uid="{00000000-0005-0000-0000-000074000000}"/>
    <cellStyle name="Pourcentage 3 8" xfId="117" xr:uid="{00000000-0005-0000-0000-000075000000}"/>
    <cellStyle name="Pourcentage 3 9" xfId="118" xr:uid="{00000000-0005-0000-0000-000076000000}"/>
    <cellStyle name="Pourcentage 4" xfId="119" xr:uid="{00000000-0005-0000-0000-000077000000}"/>
    <cellStyle name="Pourcentage 5" xfId="120" xr:uid="{00000000-0005-0000-0000-000078000000}"/>
    <cellStyle name="Pourcentage 6" xfId="121" xr:uid="{00000000-0005-0000-0000-000079000000}"/>
    <cellStyle name="Titre 1 2" xfId="122" xr:uid="{00000000-0005-0000-0000-00007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uta$99/Documents/a%20d&#233;truire/Matrice%20budg&#233;tai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uta$99\Documents\a%20d&#233;truire\Matrice%20budg&#233;t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"/>
      <sheetName val="pers. ens1"/>
      <sheetName val="suivi apprentis"/>
      <sheetName val="pers. adm1"/>
      <sheetName val="Dépenses 1"/>
      <sheetName val="pers. ens2"/>
      <sheetName val="pers. adm2"/>
      <sheetName val="Dépenses 2"/>
      <sheetName val="Liste déroulante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Titulaire</v>
          </cell>
        </row>
        <row r="2">
          <cell r="A2" t="str">
            <v>Vacataire public</v>
          </cell>
        </row>
        <row r="3">
          <cell r="A3" t="str">
            <v>Vacataire privé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CF "/>
      <sheetName val="pers. ens1"/>
      <sheetName val="suivi apprentis"/>
      <sheetName val="pers. adm1"/>
      <sheetName val="Dépenses 1"/>
      <sheetName val="pers. ens2"/>
      <sheetName val="pers. adm2"/>
      <sheetName val="Dépenses 2"/>
      <sheetName val="Liste déroulant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Titulaire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9"/>
  <sheetViews>
    <sheetView showGridLines="0" topLeftCell="A13" zoomScale="85" zoomScaleNormal="85" workbookViewId="0">
      <selection activeCell="D17" sqref="D17"/>
    </sheetView>
  </sheetViews>
  <sheetFormatPr baseColWidth="10" defaultColWidth="11.453125" defaultRowHeight="14.15" customHeight="1"/>
  <cols>
    <col min="1" max="1" width="39.7265625" style="131" customWidth="1"/>
    <col min="2" max="2" width="17.26953125" style="131" customWidth="1"/>
    <col min="3" max="3" width="17" style="131" customWidth="1"/>
    <col min="4" max="4" width="17.453125" style="131" customWidth="1"/>
    <col min="5" max="5" width="15.7265625" style="131" customWidth="1"/>
    <col min="6" max="6" width="12" style="131" customWidth="1"/>
    <col min="7" max="7" width="11" style="131" customWidth="1"/>
    <col min="8" max="8" width="19.7265625" style="131" customWidth="1"/>
    <col min="9" max="9" width="15.7265625" style="131" customWidth="1"/>
    <col min="10" max="10" width="15.26953125" style="131" customWidth="1"/>
    <col min="11" max="12" width="10.7265625" style="131" customWidth="1"/>
    <col min="13" max="14" width="15.7265625" style="131" customWidth="1"/>
    <col min="15" max="17" width="14.7265625" style="131" customWidth="1"/>
    <col min="18" max="16384" width="11.453125" style="131"/>
  </cols>
  <sheetData>
    <row r="1" spans="1:17" s="114" customFormat="1" ht="14.15" customHeight="1">
      <c r="A1" s="73" t="s">
        <v>147</v>
      </c>
      <c r="B1" s="42"/>
      <c r="C1" s="70"/>
      <c r="D1" s="70"/>
      <c r="E1" s="42"/>
      <c r="F1" s="43"/>
      <c r="G1" s="110"/>
      <c r="H1" s="57"/>
      <c r="I1" s="44"/>
      <c r="J1" s="57"/>
      <c r="K1" s="58"/>
      <c r="L1" s="45"/>
      <c r="M1" s="111"/>
      <c r="N1" s="111"/>
      <c r="O1" s="112"/>
      <c r="P1" s="113"/>
    </row>
    <row r="2" spans="1:17" s="114" customFormat="1" ht="14.15" customHeight="1">
      <c r="A2" s="74" t="s">
        <v>148</v>
      </c>
      <c r="B2" s="46"/>
      <c r="C2" s="71"/>
      <c r="D2" s="71"/>
      <c r="E2" s="46"/>
      <c r="F2" s="47"/>
      <c r="G2" s="116"/>
      <c r="H2" s="59"/>
      <c r="I2" s="48"/>
      <c r="J2" s="59"/>
      <c r="K2" s="60"/>
      <c r="L2" s="49"/>
      <c r="M2" s="117"/>
      <c r="N2" s="117"/>
      <c r="O2" s="118"/>
      <c r="P2" s="119"/>
    </row>
    <row r="3" spans="1:17" s="114" customFormat="1" ht="14.15" customHeight="1">
      <c r="A3" s="74" t="s">
        <v>149</v>
      </c>
      <c r="B3" s="46"/>
      <c r="C3" s="71"/>
      <c r="D3" s="71"/>
      <c r="E3" s="46"/>
      <c r="F3" s="47"/>
      <c r="G3" s="116"/>
      <c r="H3" s="59"/>
      <c r="I3" s="48"/>
      <c r="J3" s="59"/>
      <c r="K3" s="60"/>
      <c r="L3" s="49"/>
      <c r="M3" s="117"/>
      <c r="N3" s="117"/>
      <c r="O3" s="118"/>
      <c r="P3" s="119"/>
    </row>
    <row r="4" spans="1:17" s="114" customFormat="1" ht="14.15" customHeight="1">
      <c r="A4" s="75" t="s">
        <v>145</v>
      </c>
      <c r="B4" s="50"/>
      <c r="C4" s="72"/>
      <c r="D4" s="72"/>
      <c r="E4" s="50"/>
      <c r="F4" s="51"/>
      <c r="G4" s="121"/>
      <c r="H4" s="61"/>
      <c r="I4" s="52"/>
      <c r="J4" s="61"/>
      <c r="K4" s="62"/>
      <c r="L4" s="53"/>
      <c r="M4" s="122"/>
      <c r="N4" s="122"/>
      <c r="O4" s="123"/>
      <c r="P4" s="124"/>
    </row>
    <row r="5" spans="1:17" s="114" customFormat="1" ht="14.15" customHeight="1">
      <c r="C5" s="125"/>
      <c r="D5" s="125"/>
      <c r="F5" s="126"/>
      <c r="G5" s="125"/>
      <c r="H5" s="127"/>
      <c r="J5" s="125"/>
      <c r="K5" s="125"/>
      <c r="M5" s="125"/>
      <c r="N5" s="125"/>
      <c r="P5" s="125"/>
    </row>
    <row r="6" spans="1:17" s="114" customFormat="1" ht="14.15" customHeight="1">
      <c r="A6" s="36" t="s">
        <v>47</v>
      </c>
      <c r="B6" s="37"/>
      <c r="C6" s="56"/>
      <c r="D6" s="56"/>
      <c r="E6" s="38"/>
      <c r="F6" s="39"/>
      <c r="G6" s="68"/>
      <c r="H6" s="68"/>
      <c r="I6" s="40"/>
      <c r="J6" s="63"/>
      <c r="K6" s="64"/>
      <c r="L6" s="41"/>
      <c r="M6" s="56"/>
      <c r="N6" s="56"/>
      <c r="O6" s="128"/>
      <c r="P6" s="54"/>
    </row>
    <row r="7" spans="1:17" ht="14.15" customHeight="1" thickBot="1">
      <c r="A7" s="129"/>
      <c r="B7" s="13"/>
      <c r="C7" s="13"/>
      <c r="D7" s="13"/>
      <c r="E7" s="14"/>
      <c r="F7" s="130"/>
      <c r="G7" s="15"/>
      <c r="H7" s="15"/>
      <c r="I7" s="15"/>
      <c r="J7" s="16"/>
      <c r="K7" s="17"/>
      <c r="L7" s="18"/>
      <c r="M7" s="19"/>
      <c r="N7" s="20"/>
      <c r="O7" s="129"/>
      <c r="P7" s="19"/>
      <c r="Q7" s="19"/>
    </row>
    <row r="8" spans="1:17" s="134" customFormat="1" ht="32.25" customHeight="1" thickBot="1">
      <c r="A8" s="90" t="s">
        <v>44</v>
      </c>
      <c r="B8" s="91" t="s">
        <v>141</v>
      </c>
      <c r="C8" s="92" t="s">
        <v>146</v>
      </c>
      <c r="D8" s="132" t="s">
        <v>49</v>
      </c>
      <c r="E8" s="133" t="s">
        <v>55</v>
      </c>
      <c r="F8" s="24"/>
      <c r="K8" s="135"/>
      <c r="L8" s="135"/>
      <c r="M8" s="135"/>
      <c r="N8" s="102"/>
      <c r="O8" s="135"/>
      <c r="P8" s="25"/>
      <c r="Q8" s="25"/>
    </row>
    <row r="9" spans="1:17" ht="14.15" customHeight="1">
      <c r="A9" s="89" t="s">
        <v>61</v>
      </c>
      <c r="B9" s="299">
        <v>14</v>
      </c>
      <c r="C9" s="300">
        <v>11</v>
      </c>
      <c r="D9" s="136">
        <f>B9*2/3+C9*1/3</f>
        <v>13</v>
      </c>
      <c r="E9" s="137">
        <f t="shared" ref="E9:E14" si="0">$D$9/D9</f>
        <v>1</v>
      </c>
      <c r="F9" s="15"/>
      <c r="K9" s="138"/>
      <c r="L9" s="326"/>
      <c r="M9" s="326"/>
      <c r="N9" s="326"/>
      <c r="O9" s="138"/>
      <c r="P9" s="19"/>
      <c r="Q9" s="19"/>
    </row>
    <row r="10" spans="1:17" ht="14.15" customHeight="1">
      <c r="A10" s="87" t="s">
        <v>45</v>
      </c>
      <c r="B10" s="301">
        <v>25</v>
      </c>
      <c r="C10" s="302">
        <v>28</v>
      </c>
      <c r="D10" s="139">
        <f t="shared" ref="D10:D14" si="1">B10*2/3+C10*1/3</f>
        <v>26</v>
      </c>
      <c r="E10" s="140">
        <f t="shared" si="0"/>
        <v>0.5</v>
      </c>
      <c r="F10" s="15"/>
      <c r="K10" s="138"/>
      <c r="L10" s="334"/>
      <c r="M10" s="334"/>
      <c r="N10" s="334"/>
      <c r="O10" s="138"/>
      <c r="P10" s="19"/>
      <c r="Q10" s="19"/>
    </row>
    <row r="11" spans="1:17" ht="14.15" customHeight="1">
      <c r="A11" s="87" t="s">
        <v>46</v>
      </c>
      <c r="B11" s="86"/>
      <c r="C11" s="76"/>
      <c r="D11" s="139">
        <f t="shared" si="1"/>
        <v>0</v>
      </c>
      <c r="E11" s="140" t="e">
        <f t="shared" si="0"/>
        <v>#DIV/0!</v>
      </c>
      <c r="F11" s="15"/>
      <c r="G11" s="15"/>
      <c r="H11" s="15"/>
      <c r="K11" s="138"/>
      <c r="L11" s="103"/>
      <c r="M11" s="103"/>
      <c r="N11" s="104"/>
      <c r="O11" s="138"/>
      <c r="P11" s="19"/>
      <c r="Q11" s="19"/>
    </row>
    <row r="12" spans="1:17" ht="14.15" customHeight="1">
      <c r="A12" s="87" t="s">
        <v>48</v>
      </c>
      <c r="B12" s="86"/>
      <c r="C12" s="76"/>
      <c r="D12" s="139">
        <f t="shared" si="1"/>
        <v>0</v>
      </c>
      <c r="E12" s="140" t="e">
        <f t="shared" si="0"/>
        <v>#DIV/0!</v>
      </c>
      <c r="F12" s="15"/>
      <c r="G12" s="15"/>
      <c r="H12" s="15"/>
      <c r="I12" s="15"/>
      <c r="J12" s="16"/>
      <c r="K12" s="103"/>
      <c r="L12" s="105"/>
      <c r="M12" s="10"/>
      <c r="N12" s="104"/>
      <c r="O12" s="138"/>
      <c r="P12" s="19"/>
      <c r="Q12" s="19"/>
    </row>
    <row r="13" spans="1:17" ht="14.15" customHeight="1">
      <c r="A13" s="87" t="s">
        <v>66</v>
      </c>
      <c r="B13" s="86">
        <v>35000</v>
      </c>
      <c r="C13" s="324">
        <v>36000</v>
      </c>
      <c r="D13" s="139">
        <f t="shared" si="1"/>
        <v>35333.333333333328</v>
      </c>
      <c r="E13" s="140">
        <f t="shared" si="0"/>
        <v>3.6792452830188683E-4</v>
      </c>
      <c r="F13" s="15"/>
      <c r="G13" s="15"/>
      <c r="H13" s="15"/>
      <c r="I13" s="15"/>
      <c r="J13" s="16"/>
      <c r="K13" s="17"/>
      <c r="L13" s="18"/>
      <c r="M13" s="19"/>
      <c r="N13" s="20"/>
      <c r="O13" s="129"/>
      <c r="P13" s="19"/>
      <c r="Q13" s="19"/>
    </row>
    <row r="14" spans="1:17" ht="14.15" customHeight="1" thickBot="1">
      <c r="A14" s="88" t="s">
        <v>60</v>
      </c>
      <c r="B14" s="100"/>
      <c r="C14" s="101"/>
      <c r="D14" s="141">
        <f t="shared" si="1"/>
        <v>0</v>
      </c>
      <c r="E14" s="142" t="e">
        <f t="shared" si="0"/>
        <v>#DIV/0!</v>
      </c>
      <c r="F14" s="15"/>
      <c r="G14" s="15"/>
      <c r="H14" s="15"/>
      <c r="I14" s="15"/>
      <c r="J14" s="16"/>
      <c r="K14" s="17"/>
      <c r="L14" s="18"/>
      <c r="M14" s="19"/>
      <c r="N14" s="20"/>
      <c r="O14" s="129"/>
      <c r="P14" s="19"/>
      <c r="Q14" s="19"/>
    </row>
    <row r="15" spans="1:17" ht="14.15" customHeight="1">
      <c r="A15" s="21"/>
      <c r="B15" s="21"/>
      <c r="C15" s="21"/>
      <c r="D15" s="143"/>
      <c r="E15" s="22"/>
      <c r="F15" s="15"/>
      <c r="G15" s="15"/>
      <c r="H15" s="15"/>
      <c r="I15" s="15"/>
      <c r="J15" s="16"/>
      <c r="K15" s="17"/>
      <c r="L15" s="18"/>
      <c r="M15" s="19"/>
      <c r="N15" s="20"/>
      <c r="O15" s="129"/>
      <c r="P15" s="19"/>
      <c r="Q15" s="19"/>
    </row>
    <row r="16" spans="1:17" s="114" customFormat="1" ht="14.15" customHeight="1">
      <c r="A16" s="36" t="s">
        <v>54</v>
      </c>
      <c r="B16" s="37"/>
      <c r="C16" s="56"/>
      <c r="D16" s="56"/>
      <c r="E16" s="38"/>
      <c r="F16" s="39"/>
      <c r="G16" s="68"/>
      <c r="H16" s="68"/>
      <c r="I16" s="40"/>
      <c r="J16" s="63"/>
      <c r="K16" s="64"/>
      <c r="L16" s="41"/>
      <c r="M16" s="56"/>
      <c r="N16" s="56"/>
      <c r="O16" s="128"/>
      <c r="P16" s="54"/>
    </row>
    <row r="17" spans="1:14" ht="14.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15" customHeight="1">
      <c r="A18" s="336" t="s">
        <v>5</v>
      </c>
      <c r="B18" s="336"/>
      <c r="C18" s="23"/>
      <c r="D18" s="23"/>
      <c r="E18" s="163"/>
      <c r="F18" s="169"/>
      <c r="G18" s="170" t="s">
        <v>1</v>
      </c>
      <c r="H18" s="166">
        <v>1.5</v>
      </c>
      <c r="I18" s="339" t="s">
        <v>130</v>
      </c>
      <c r="J18" s="340"/>
      <c r="K18" s="340"/>
      <c r="L18" s="340"/>
      <c r="M18" s="340"/>
    </row>
    <row r="19" spans="1:14" ht="14.15" customHeight="1">
      <c r="E19" s="164"/>
      <c r="F19" s="171" t="s">
        <v>51</v>
      </c>
      <c r="G19" s="172" t="s">
        <v>3</v>
      </c>
      <c r="H19" s="167">
        <v>1</v>
      </c>
      <c r="I19" s="339"/>
      <c r="J19" s="340"/>
      <c r="K19" s="340"/>
      <c r="L19" s="340"/>
      <c r="M19" s="340"/>
      <c r="N19" s="1"/>
    </row>
    <row r="20" spans="1:14" ht="14.15" customHeight="1" thickBot="1">
      <c r="A20" s="335" t="s">
        <v>25</v>
      </c>
      <c r="B20" s="335"/>
      <c r="D20" s="10"/>
      <c r="E20" s="165"/>
      <c r="F20" s="173"/>
      <c r="G20" s="174" t="s">
        <v>4</v>
      </c>
      <c r="H20" s="168">
        <f>2/3</f>
        <v>0.66666666666666663</v>
      </c>
      <c r="I20" s="339"/>
      <c r="J20" s="340"/>
      <c r="K20" s="340"/>
      <c r="L20" s="340"/>
      <c r="M20" s="340"/>
      <c r="N20" s="1"/>
    </row>
    <row r="21" spans="1:14" ht="14.15" customHeight="1" thickBot="1">
      <c r="D21" s="10"/>
      <c r="E21" s="10"/>
      <c r="F21" s="144"/>
      <c r="G21" s="3"/>
      <c r="H21" s="30"/>
      <c r="I21" s="30"/>
      <c r="J21" s="30"/>
      <c r="L21" s="10"/>
      <c r="M21" s="10"/>
      <c r="N21" s="1"/>
    </row>
    <row r="22" spans="1:14" ht="14.15" customHeight="1" thickBot="1">
      <c r="A22" s="337" t="s">
        <v>0</v>
      </c>
      <c r="B22" s="331" t="s">
        <v>67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3"/>
      <c r="N22" s="329" t="s">
        <v>52</v>
      </c>
    </row>
    <row r="23" spans="1:14" ht="41" thickBot="1">
      <c r="A23" s="338"/>
      <c r="B23" s="7" t="s">
        <v>1</v>
      </c>
      <c r="C23" s="6" t="s">
        <v>2</v>
      </c>
      <c r="D23" s="6" t="s">
        <v>42</v>
      </c>
      <c r="E23" s="79" t="s">
        <v>62</v>
      </c>
      <c r="F23" s="7" t="s">
        <v>3</v>
      </c>
      <c r="G23" s="6" t="s">
        <v>2</v>
      </c>
      <c r="H23" s="6" t="s">
        <v>42</v>
      </c>
      <c r="I23" s="79" t="s">
        <v>63</v>
      </c>
      <c r="J23" s="7" t="s">
        <v>4</v>
      </c>
      <c r="K23" s="6" t="s">
        <v>2</v>
      </c>
      <c r="L23" s="6" t="s">
        <v>42</v>
      </c>
      <c r="M23" s="79" t="s">
        <v>76</v>
      </c>
      <c r="N23" s="330"/>
    </row>
    <row r="24" spans="1:14" s="146" customFormat="1" ht="14.15" customHeight="1">
      <c r="A24" s="243" t="s">
        <v>70</v>
      </c>
      <c r="B24" s="157"/>
      <c r="C24" s="191"/>
      <c r="D24" s="265"/>
      <c r="E24" s="256">
        <f>B24*C24*D24*$H$18</f>
        <v>0</v>
      </c>
      <c r="F24" s="303">
        <f>38-20</f>
        <v>18</v>
      </c>
      <c r="G24" s="191">
        <v>0.68888888888888877</v>
      </c>
      <c r="H24" s="262">
        <v>308.94063573312297</v>
      </c>
      <c r="I24" s="256">
        <f>F24*G24*H24*$H$19</f>
        <v>3830.8638830907244</v>
      </c>
      <c r="J24" s="160"/>
      <c r="K24" s="191"/>
      <c r="L24" s="260"/>
      <c r="M24" s="96">
        <f t="shared" ref="M24:M37" si="2">J24*K24*L24*$H$20</f>
        <v>0</v>
      </c>
      <c r="N24" s="256">
        <f>M24+I24+E24</f>
        <v>3830.8638830907244</v>
      </c>
    </row>
    <row r="25" spans="1:14" s="146" customFormat="1" ht="14.15" customHeight="1">
      <c r="A25" s="243" t="s">
        <v>71</v>
      </c>
      <c r="B25" s="158"/>
      <c r="C25" s="191"/>
      <c r="D25" s="266"/>
      <c r="E25" s="257">
        <f t="shared" ref="E25:E30" si="3">B25*C25*D25*$H$18</f>
        <v>0</v>
      </c>
      <c r="F25" s="304">
        <v>160</v>
      </c>
      <c r="G25" s="191">
        <v>0.68888888888888877</v>
      </c>
      <c r="H25" s="263">
        <v>196.28949098566468</v>
      </c>
      <c r="I25" s="257">
        <f t="shared" ref="I25:I37" si="4">F25*G25*H25*$H$19</f>
        <v>21635.463895308814</v>
      </c>
      <c r="J25" s="161"/>
      <c r="K25" s="191"/>
      <c r="L25" s="261"/>
      <c r="M25" s="97">
        <f t="shared" si="2"/>
        <v>0</v>
      </c>
      <c r="N25" s="257">
        <f>M25+I25+E25</f>
        <v>21635.463895308814</v>
      </c>
    </row>
    <row r="26" spans="1:14" s="146" customFormat="1" ht="14.15" customHeight="1">
      <c r="A26" s="243" t="s">
        <v>72</v>
      </c>
      <c r="B26" s="158"/>
      <c r="C26" s="191"/>
      <c r="D26" s="266"/>
      <c r="E26" s="257">
        <f t="shared" si="3"/>
        <v>0</v>
      </c>
      <c r="F26" s="304">
        <v>27</v>
      </c>
      <c r="G26" s="191">
        <v>0.68888888888888877</v>
      </c>
      <c r="H26" s="263">
        <v>182.65853890266658</v>
      </c>
      <c r="I26" s="257">
        <f t="shared" si="4"/>
        <v>3397.4488235895979</v>
      </c>
      <c r="J26" s="161"/>
      <c r="K26" s="191"/>
      <c r="L26" s="261"/>
      <c r="M26" s="97">
        <f t="shared" si="2"/>
        <v>0</v>
      </c>
      <c r="N26" s="257">
        <f t="shared" ref="N26:N37" si="5">M26+I26+E26</f>
        <v>3397.4488235895979</v>
      </c>
    </row>
    <row r="27" spans="1:14" s="146" customFormat="1" ht="26.5" customHeight="1">
      <c r="A27" s="243" t="s">
        <v>144</v>
      </c>
      <c r="B27" s="158"/>
      <c r="C27" s="191"/>
      <c r="D27" s="266"/>
      <c r="E27" s="257">
        <f t="shared" si="3"/>
        <v>0</v>
      </c>
      <c r="F27" s="304">
        <v>15</v>
      </c>
      <c r="G27" s="191"/>
      <c r="H27" s="263">
        <v>132.91189960714564</v>
      </c>
      <c r="I27" s="257">
        <f t="shared" si="4"/>
        <v>0</v>
      </c>
      <c r="J27" s="161"/>
      <c r="K27" s="191"/>
      <c r="L27" s="261"/>
      <c r="M27" s="97">
        <f t="shared" si="2"/>
        <v>0</v>
      </c>
      <c r="N27" s="257">
        <f t="shared" si="5"/>
        <v>0</v>
      </c>
    </row>
    <row r="28" spans="1:14" s="146" customFormat="1" ht="14.15" customHeight="1">
      <c r="A28" s="243" t="s">
        <v>73</v>
      </c>
      <c r="B28" s="158"/>
      <c r="C28" s="191"/>
      <c r="D28" s="266"/>
      <c r="E28" s="257">
        <f t="shared" si="3"/>
        <v>0</v>
      </c>
      <c r="F28" s="304"/>
      <c r="G28" s="191"/>
      <c r="H28" s="263">
        <v>69.71613828277458</v>
      </c>
      <c r="I28" s="257">
        <f t="shared" si="4"/>
        <v>0</v>
      </c>
      <c r="J28" s="161"/>
      <c r="K28" s="191"/>
      <c r="L28" s="261"/>
      <c r="M28" s="97">
        <f t="shared" si="2"/>
        <v>0</v>
      </c>
      <c r="N28" s="257">
        <f t="shared" si="5"/>
        <v>0</v>
      </c>
    </row>
    <row r="29" spans="1:14" s="146" customFormat="1" ht="13.9" customHeight="1">
      <c r="A29" s="243" t="s">
        <v>74</v>
      </c>
      <c r="B29" s="158"/>
      <c r="C29" s="191"/>
      <c r="D29" s="266"/>
      <c r="E29" s="257">
        <f t="shared" si="3"/>
        <v>0</v>
      </c>
      <c r="F29" s="323">
        <v>34</v>
      </c>
      <c r="G29" s="191">
        <v>0.68888888888888877</v>
      </c>
      <c r="H29" s="263">
        <v>45.68</v>
      </c>
      <c r="I29" s="257">
        <f t="shared" si="4"/>
        <v>1069.9271111111109</v>
      </c>
      <c r="J29" s="161"/>
      <c r="K29" s="191"/>
      <c r="L29" s="261"/>
      <c r="M29" s="97">
        <f t="shared" si="2"/>
        <v>0</v>
      </c>
      <c r="N29" s="257">
        <f t="shared" si="5"/>
        <v>1069.9271111111109</v>
      </c>
    </row>
    <row r="30" spans="1:14" s="146" customFormat="1" ht="14.15" customHeight="1">
      <c r="A30" s="243" t="s">
        <v>77</v>
      </c>
      <c r="B30" s="158"/>
      <c r="C30" s="191"/>
      <c r="D30" s="266"/>
      <c r="E30" s="257">
        <f t="shared" si="3"/>
        <v>0</v>
      </c>
      <c r="F30" s="304">
        <f>110+10</f>
        <v>120</v>
      </c>
      <c r="G30" s="191">
        <v>0.68888888888888877</v>
      </c>
      <c r="H30" s="263">
        <v>61.23</v>
      </c>
      <c r="I30" s="257">
        <f t="shared" si="4"/>
        <v>5061.6799999999994</v>
      </c>
      <c r="J30" s="161"/>
      <c r="K30" s="191"/>
      <c r="L30" s="261"/>
      <c r="M30" s="97">
        <f t="shared" si="2"/>
        <v>0</v>
      </c>
      <c r="N30" s="257">
        <f t="shared" si="5"/>
        <v>5061.6799999999994</v>
      </c>
    </row>
    <row r="31" spans="1:14" s="146" customFormat="1" ht="14.15" customHeight="1">
      <c r="A31" s="243"/>
      <c r="B31" s="158"/>
      <c r="C31" s="191"/>
      <c r="D31" s="266"/>
      <c r="E31" s="257"/>
      <c r="F31" s="304"/>
      <c r="G31" s="191"/>
      <c r="H31" s="263"/>
      <c r="I31" s="257"/>
      <c r="J31" s="161"/>
      <c r="K31" s="191"/>
      <c r="L31" s="261"/>
      <c r="M31" s="97"/>
      <c r="N31" s="257"/>
    </row>
    <row r="32" spans="1:14" s="146" customFormat="1" ht="14.15" customHeight="1">
      <c r="A32" s="243"/>
      <c r="B32" s="158"/>
      <c r="C32" s="191"/>
      <c r="D32" s="266"/>
      <c r="E32" s="257"/>
      <c r="F32" s="304"/>
      <c r="G32" s="191"/>
      <c r="H32" s="263"/>
      <c r="I32" s="257"/>
      <c r="J32" s="161"/>
      <c r="K32" s="191"/>
      <c r="L32" s="261"/>
      <c r="M32" s="97"/>
      <c r="N32" s="257"/>
    </row>
    <row r="33" spans="1:17" s="146" customFormat="1" ht="14.15" customHeight="1">
      <c r="A33" s="156" t="s">
        <v>81</v>
      </c>
      <c r="B33" s="158"/>
      <c r="C33" s="191"/>
      <c r="D33" s="266"/>
      <c r="E33" s="257">
        <f>B33*C33*D33*$H$18</f>
        <v>0</v>
      </c>
      <c r="F33" s="304"/>
      <c r="G33" s="191"/>
      <c r="H33" s="263"/>
      <c r="I33" s="257">
        <f t="shared" si="4"/>
        <v>0</v>
      </c>
      <c r="J33" s="161"/>
      <c r="K33" s="191"/>
      <c r="L33" s="261"/>
      <c r="M33" s="97">
        <f t="shared" si="2"/>
        <v>0</v>
      </c>
      <c r="N33" s="257">
        <f t="shared" si="5"/>
        <v>0</v>
      </c>
    </row>
    <row r="34" spans="1:17" s="146" customFormat="1" ht="14.15" customHeight="1">
      <c r="A34" s="156" t="s">
        <v>81</v>
      </c>
      <c r="B34" s="158"/>
      <c r="C34" s="191"/>
      <c r="D34" s="266"/>
      <c r="E34" s="257">
        <f t="shared" ref="E34:E36" si="6">B34*C34*D34*$H$18</f>
        <v>0</v>
      </c>
      <c r="F34" s="304"/>
      <c r="G34" s="191"/>
      <c r="H34" s="263"/>
      <c r="I34" s="257">
        <f t="shared" si="4"/>
        <v>0</v>
      </c>
      <c r="J34" s="161"/>
      <c r="K34" s="191"/>
      <c r="L34" s="261"/>
      <c r="M34" s="97">
        <f t="shared" si="2"/>
        <v>0</v>
      </c>
      <c r="N34" s="257">
        <f t="shared" si="5"/>
        <v>0</v>
      </c>
    </row>
    <row r="35" spans="1:17" s="146" customFormat="1" ht="14.15" customHeight="1">
      <c r="A35" s="156" t="s">
        <v>81</v>
      </c>
      <c r="B35" s="158"/>
      <c r="C35" s="191"/>
      <c r="D35" s="266"/>
      <c r="E35" s="257">
        <f t="shared" si="6"/>
        <v>0</v>
      </c>
      <c r="F35" s="304"/>
      <c r="G35" s="191"/>
      <c r="H35" s="263"/>
      <c r="I35" s="257">
        <f t="shared" si="4"/>
        <v>0</v>
      </c>
      <c r="J35" s="161"/>
      <c r="K35" s="191"/>
      <c r="L35" s="261"/>
      <c r="M35" s="97">
        <f t="shared" si="2"/>
        <v>0</v>
      </c>
      <c r="N35" s="257">
        <f t="shared" si="5"/>
        <v>0</v>
      </c>
    </row>
    <row r="36" spans="1:17" s="146" customFormat="1" ht="14.15" customHeight="1">
      <c r="A36" s="156" t="s">
        <v>81</v>
      </c>
      <c r="B36" s="158"/>
      <c r="C36" s="191"/>
      <c r="D36" s="266"/>
      <c r="E36" s="257">
        <f t="shared" si="6"/>
        <v>0</v>
      </c>
      <c r="F36" s="304"/>
      <c r="G36" s="191"/>
      <c r="H36" s="263"/>
      <c r="I36" s="257">
        <f t="shared" si="4"/>
        <v>0</v>
      </c>
      <c r="J36" s="161"/>
      <c r="K36" s="191"/>
      <c r="L36" s="261"/>
      <c r="M36" s="97">
        <f t="shared" si="2"/>
        <v>0</v>
      </c>
      <c r="N36" s="257">
        <f t="shared" si="5"/>
        <v>0</v>
      </c>
    </row>
    <row r="37" spans="1:17" s="146" customFormat="1" ht="14.15" customHeight="1" thickBot="1">
      <c r="A37" s="156" t="s">
        <v>81</v>
      </c>
      <c r="B37" s="159"/>
      <c r="C37" s="191"/>
      <c r="D37" s="267"/>
      <c r="E37" s="258">
        <f>B37*C37*D37*$H$18</f>
        <v>0</v>
      </c>
      <c r="F37" s="305"/>
      <c r="G37" s="191"/>
      <c r="H37" s="264"/>
      <c r="I37" s="257">
        <f t="shared" si="4"/>
        <v>0</v>
      </c>
      <c r="J37" s="162"/>
      <c r="K37" s="191"/>
      <c r="L37" s="261"/>
      <c r="M37" s="97">
        <f t="shared" si="2"/>
        <v>0</v>
      </c>
      <c r="N37" s="257">
        <f t="shared" si="5"/>
        <v>0</v>
      </c>
    </row>
    <row r="38" spans="1:17" s="147" customFormat="1" ht="14.15" customHeight="1" thickBot="1">
      <c r="A38" s="82" t="s">
        <v>75</v>
      </c>
      <c r="B38" s="95">
        <f>+SUM(B24:B37)</f>
        <v>0</v>
      </c>
      <c r="C38" s="249"/>
      <c r="D38" s="249"/>
      <c r="E38" s="259">
        <f>+SUM(E24:E37)</f>
        <v>0</v>
      </c>
      <c r="F38" s="95">
        <f>+SUM(F24:F37)</f>
        <v>374</v>
      </c>
      <c r="G38" s="249"/>
      <c r="H38" s="98"/>
      <c r="I38" s="259">
        <f>+SUM(I24:I37)</f>
        <v>34995.383713100251</v>
      </c>
      <c r="J38" s="95">
        <f>+SUM(J24:J37)</f>
        <v>0</v>
      </c>
      <c r="K38" s="249"/>
      <c r="L38" s="98"/>
      <c r="M38" s="99">
        <f>+SUM(M24:M37)</f>
        <v>0</v>
      </c>
      <c r="N38" s="259">
        <f>+SUM(N24:N37)</f>
        <v>34995.383713100251</v>
      </c>
    </row>
    <row r="39" spans="1:17" ht="14.15" customHeight="1" thickBot="1">
      <c r="A39" s="145"/>
      <c r="C39" s="9"/>
      <c r="D39" s="3"/>
      <c r="E39" s="1"/>
      <c r="F39" s="1"/>
      <c r="G39" s="1"/>
      <c r="H39" s="1"/>
      <c r="I39" s="1"/>
      <c r="J39" s="2"/>
      <c r="K39" s="1"/>
      <c r="L39" s="1"/>
      <c r="M39" s="1"/>
      <c r="N39" s="2"/>
      <c r="O39" s="1"/>
      <c r="P39" s="1"/>
      <c r="Q39" s="1"/>
    </row>
    <row r="40" spans="1:17" ht="14.15" customHeight="1" thickBot="1">
      <c r="A40" s="131" t="s">
        <v>131</v>
      </c>
      <c r="B40" s="254"/>
      <c r="C40" s="9"/>
      <c r="D40" s="3"/>
      <c r="E40" s="1"/>
      <c r="F40" s="1"/>
      <c r="G40" s="1"/>
      <c r="H40" s="1"/>
      <c r="I40" s="1"/>
      <c r="J40" s="2"/>
      <c r="K40" s="1"/>
      <c r="L40" s="1"/>
      <c r="M40" s="252" t="s">
        <v>129</v>
      </c>
      <c r="N40" s="108">
        <f>+B38+F38+J38</f>
        <v>374</v>
      </c>
      <c r="O40" s="1"/>
      <c r="P40" s="1"/>
      <c r="Q40" s="1"/>
    </row>
    <row r="41" spans="1:17" ht="14.15" customHeight="1">
      <c r="A41" s="131" t="s">
        <v>132</v>
      </c>
      <c r="B41" s="254"/>
      <c r="C41" s="9"/>
      <c r="D41" s="3"/>
      <c r="E41" s="1"/>
      <c r="F41" s="1"/>
      <c r="G41" s="1"/>
      <c r="H41" s="1"/>
      <c r="I41" s="1"/>
      <c r="J41" s="2"/>
      <c r="K41" s="1"/>
      <c r="L41" s="1"/>
      <c r="M41" s="252"/>
      <c r="N41" s="1"/>
      <c r="O41" s="1"/>
      <c r="P41" s="1"/>
      <c r="Q41" s="1"/>
    </row>
    <row r="42" spans="1:17" ht="14.15" customHeight="1">
      <c r="A42" s="131" t="s">
        <v>133</v>
      </c>
      <c r="B42" s="253"/>
      <c r="C42" s="9"/>
      <c r="D42" s="3"/>
      <c r="E42" s="1"/>
      <c r="F42" s="1"/>
      <c r="G42" s="1"/>
      <c r="H42" s="1"/>
      <c r="I42" s="1"/>
      <c r="J42" s="2"/>
      <c r="K42" s="1"/>
      <c r="L42" s="1"/>
      <c r="M42" s="252"/>
      <c r="N42" s="1"/>
      <c r="O42" s="1"/>
      <c r="P42" s="1"/>
      <c r="Q42" s="1"/>
    </row>
    <row r="43" spans="1:17" ht="14.15" customHeight="1">
      <c r="A43" s="145"/>
      <c r="C43" s="9"/>
      <c r="D43" s="3"/>
      <c r="E43" s="1"/>
      <c r="F43" s="1"/>
      <c r="G43" s="1"/>
      <c r="H43" s="1"/>
      <c r="I43" s="1"/>
      <c r="J43" s="2"/>
      <c r="K43" s="1"/>
      <c r="L43" s="1"/>
      <c r="M43" s="1"/>
      <c r="N43" s="2"/>
      <c r="O43" s="1"/>
      <c r="P43" s="1"/>
      <c r="Q43" s="1"/>
    </row>
    <row r="44" spans="1:17" ht="14.15" customHeight="1">
      <c r="A44" s="145" t="s">
        <v>134</v>
      </c>
      <c r="B44" s="341"/>
      <c r="C44" s="342"/>
      <c r="D44" s="342"/>
      <c r="E44" s="342"/>
      <c r="F44" s="342"/>
      <c r="G44" s="342"/>
      <c r="H44" s="343"/>
      <c r="I44" s="1"/>
      <c r="J44" s="2"/>
      <c r="K44" s="1"/>
      <c r="L44" s="1"/>
      <c r="M44" s="1"/>
      <c r="N44" s="2"/>
      <c r="O44" s="1"/>
      <c r="P44" s="1"/>
      <c r="Q44" s="1"/>
    </row>
    <row r="45" spans="1:17" ht="14.15" customHeight="1">
      <c r="A45" s="145"/>
      <c r="B45" s="344"/>
      <c r="C45" s="345"/>
      <c r="D45" s="345"/>
      <c r="E45" s="345"/>
      <c r="F45" s="345"/>
      <c r="G45" s="345"/>
      <c r="H45" s="346"/>
      <c r="I45" s="1"/>
      <c r="J45" s="2"/>
      <c r="K45" s="1"/>
      <c r="L45" s="1"/>
      <c r="M45" s="1"/>
      <c r="N45" s="2"/>
      <c r="O45" s="1"/>
      <c r="P45" s="1"/>
      <c r="Q45" s="1"/>
    </row>
    <row r="46" spans="1:17" ht="14.15" customHeight="1">
      <c r="A46" s="145"/>
      <c r="B46" s="347"/>
      <c r="C46" s="348"/>
      <c r="D46" s="348"/>
      <c r="E46" s="348"/>
      <c r="F46" s="348"/>
      <c r="G46" s="348"/>
      <c r="H46" s="349"/>
      <c r="I46" s="1"/>
      <c r="J46" s="2"/>
      <c r="K46" s="1"/>
      <c r="L46" s="1"/>
      <c r="M46" s="1"/>
      <c r="N46" s="2"/>
      <c r="O46" s="1"/>
      <c r="P46" s="1"/>
      <c r="Q46" s="1"/>
    </row>
    <row r="47" spans="1:17" ht="14.15" customHeight="1">
      <c r="A47" s="145"/>
      <c r="C47" s="9"/>
      <c r="D47" s="3"/>
      <c r="E47" s="1"/>
      <c r="F47" s="1"/>
      <c r="G47" s="1"/>
      <c r="H47" s="1"/>
      <c r="I47" s="1"/>
      <c r="J47" s="2"/>
      <c r="K47" s="1"/>
      <c r="L47" s="1"/>
      <c r="M47" s="1"/>
      <c r="N47" s="2"/>
      <c r="O47" s="1"/>
      <c r="P47" s="1"/>
      <c r="Q47" s="1"/>
    </row>
    <row r="48" spans="1:17" ht="14.15" customHeight="1">
      <c r="A48" s="335" t="s">
        <v>26</v>
      </c>
      <c r="B48" s="335"/>
      <c r="C48" s="148"/>
      <c r="M48" s="149"/>
      <c r="N48" s="2"/>
      <c r="O48" s="1"/>
      <c r="P48" s="1"/>
      <c r="Q48" s="1"/>
    </row>
    <row r="49" spans="1:17" ht="14.15" customHeight="1" thickBot="1">
      <c r="A49" s="145"/>
      <c r="B49" s="148"/>
      <c r="C49" s="148"/>
      <c r="M49" s="12"/>
      <c r="N49" s="2"/>
      <c r="O49" s="1"/>
      <c r="P49" s="1"/>
      <c r="Q49" s="1"/>
    </row>
    <row r="50" spans="1:17" ht="41" thickBot="1">
      <c r="A50" s="81" t="s">
        <v>0</v>
      </c>
      <c r="B50" s="150" t="s">
        <v>24</v>
      </c>
      <c r="C50" s="6" t="s">
        <v>22</v>
      </c>
      <c r="D50" s="6" t="s">
        <v>23</v>
      </c>
      <c r="E50" s="94" t="s">
        <v>6</v>
      </c>
      <c r="F50" s="151" t="s">
        <v>7</v>
      </c>
      <c r="G50" s="152" t="s">
        <v>8</v>
      </c>
      <c r="H50" s="153" t="s">
        <v>52</v>
      </c>
      <c r="M50" s="12"/>
      <c r="N50" s="2"/>
      <c r="O50" s="1"/>
      <c r="P50" s="1"/>
      <c r="Q50" s="1"/>
    </row>
    <row r="51" spans="1:17" s="146" customFormat="1" ht="14.15" customHeight="1">
      <c r="A51" s="80" t="str">
        <f t="shared" ref="A51:A57" si="7">+A24</f>
        <v>Professeur</v>
      </c>
      <c r="B51" s="268"/>
      <c r="C51" s="269"/>
      <c r="D51" s="269"/>
      <c r="E51" s="313">
        <v>20</v>
      </c>
      <c r="F51" s="314">
        <f t="shared" ref="F51:F56" si="8">SUM(B51:E51)</f>
        <v>20</v>
      </c>
      <c r="G51" s="270">
        <v>308.94063573312297</v>
      </c>
      <c r="H51" s="271">
        <f>F51*G51</f>
        <v>6178.8127146624593</v>
      </c>
      <c r="M51" s="12"/>
      <c r="N51" s="31"/>
      <c r="O51" s="30"/>
      <c r="P51" s="30"/>
      <c r="Q51" s="30"/>
    </row>
    <row r="52" spans="1:17" s="146" customFormat="1" ht="14.15" customHeight="1">
      <c r="A52" s="80" t="str">
        <f t="shared" si="7"/>
        <v>Maître de conférence</v>
      </c>
      <c r="B52" s="268"/>
      <c r="C52" s="269"/>
      <c r="D52" s="269"/>
      <c r="E52" s="313">
        <v>70</v>
      </c>
      <c r="F52" s="314">
        <f t="shared" si="8"/>
        <v>70</v>
      </c>
      <c r="G52" s="272">
        <v>196.28949098566468</v>
      </c>
      <c r="H52" s="273">
        <f t="shared" ref="H52:H57" si="9">F52*G52</f>
        <v>13740.264368996528</v>
      </c>
      <c r="M52" s="12"/>
      <c r="N52" s="31"/>
      <c r="O52" s="30"/>
      <c r="P52" s="30"/>
      <c r="Q52" s="30"/>
    </row>
    <row r="53" spans="1:17" s="146" customFormat="1" ht="14.15" customHeight="1">
      <c r="A53" s="80" t="str">
        <f t="shared" si="7"/>
        <v>Second degré</v>
      </c>
      <c r="B53" s="268"/>
      <c r="C53" s="269"/>
      <c r="D53" s="269"/>
      <c r="E53" s="313"/>
      <c r="F53" s="314">
        <f t="shared" si="8"/>
        <v>0</v>
      </c>
      <c r="G53" s="272">
        <v>182.65853890266658</v>
      </c>
      <c r="H53" s="273">
        <f t="shared" si="9"/>
        <v>0</v>
      </c>
      <c r="M53" s="12"/>
      <c r="N53" s="31"/>
      <c r="O53" s="30"/>
      <c r="P53" s="30"/>
      <c r="Q53" s="30"/>
    </row>
    <row r="54" spans="1:17" s="146" customFormat="1" ht="40.9" customHeight="1">
      <c r="A54" s="80" t="str">
        <f t="shared" si="7"/>
        <v>Enseignant contractuel (ATER Lecteur PAST,…)</v>
      </c>
      <c r="B54" s="268"/>
      <c r="C54" s="269"/>
      <c r="D54" s="269"/>
      <c r="E54" s="313"/>
      <c r="F54" s="314">
        <f t="shared" si="8"/>
        <v>0</v>
      </c>
      <c r="G54" s="272">
        <v>132.91189960714564</v>
      </c>
      <c r="H54" s="273">
        <f t="shared" si="9"/>
        <v>0</v>
      </c>
      <c r="M54" s="12"/>
      <c r="N54" s="31"/>
      <c r="O54" s="30"/>
      <c r="P54" s="30"/>
      <c r="Q54" s="30"/>
    </row>
    <row r="55" spans="1:17" s="146" customFormat="1" ht="14.15" customHeight="1">
      <c r="A55" s="80" t="str">
        <f t="shared" si="7"/>
        <v>Doctorant</v>
      </c>
      <c r="B55" s="268"/>
      <c r="C55" s="269"/>
      <c r="D55" s="269"/>
      <c r="E55" s="313"/>
      <c r="F55" s="314">
        <f t="shared" si="8"/>
        <v>0</v>
      </c>
      <c r="G55" s="272">
        <v>69.71613828277458</v>
      </c>
      <c r="H55" s="273">
        <f t="shared" si="9"/>
        <v>0</v>
      </c>
      <c r="M55" s="12"/>
      <c r="N55" s="31"/>
      <c r="O55" s="30"/>
      <c r="P55" s="30"/>
      <c r="Q55" s="30"/>
    </row>
    <row r="56" spans="1:17" s="146" customFormat="1" ht="14.15" customHeight="1">
      <c r="A56" s="80" t="str">
        <f t="shared" si="7"/>
        <v>Vacataire fonctionnaire</v>
      </c>
      <c r="B56" s="268"/>
      <c r="C56" s="269"/>
      <c r="D56" s="269"/>
      <c r="E56" s="313">
        <v>20</v>
      </c>
      <c r="F56" s="314">
        <f t="shared" si="8"/>
        <v>20</v>
      </c>
      <c r="G56" s="272">
        <v>45.68</v>
      </c>
      <c r="H56" s="273">
        <f t="shared" si="9"/>
        <v>913.6</v>
      </c>
      <c r="M56" s="12"/>
      <c r="N56" s="31"/>
      <c r="O56" s="30"/>
      <c r="P56" s="30"/>
      <c r="Q56" s="30"/>
    </row>
    <row r="57" spans="1:17" s="146" customFormat="1" ht="14.15" customHeight="1">
      <c r="A57" s="80" t="str">
        <f t="shared" si="7"/>
        <v>Vacataire non fonctionnaire</v>
      </c>
      <c r="B57" s="268"/>
      <c r="C57" s="269"/>
      <c r="D57" s="269"/>
      <c r="E57" s="313"/>
      <c r="F57" s="314">
        <f>SUM(B57:E57)</f>
        <v>0</v>
      </c>
      <c r="G57" s="272">
        <v>61.23</v>
      </c>
      <c r="H57" s="273">
        <f t="shared" si="9"/>
        <v>0</v>
      </c>
      <c r="M57" s="12"/>
      <c r="N57" s="31"/>
      <c r="O57" s="30"/>
      <c r="P57" s="30"/>
      <c r="Q57" s="30"/>
    </row>
    <row r="58" spans="1:17" s="146" customFormat="1" ht="14.15" customHeight="1">
      <c r="A58" s="80"/>
      <c r="B58" s="268"/>
      <c r="C58" s="269"/>
      <c r="D58" s="269"/>
      <c r="E58" s="313"/>
      <c r="F58" s="314"/>
      <c r="G58" s="272"/>
      <c r="H58" s="273"/>
      <c r="M58" s="12"/>
      <c r="N58" s="31"/>
      <c r="O58" s="30"/>
      <c r="P58" s="30"/>
      <c r="Q58" s="30"/>
    </row>
    <row r="59" spans="1:17" s="146" customFormat="1" ht="14.15" customHeight="1">
      <c r="A59" s="80"/>
      <c r="B59" s="268"/>
      <c r="C59" s="269"/>
      <c r="D59" s="269"/>
      <c r="E59" s="313"/>
      <c r="F59" s="314"/>
      <c r="G59" s="272"/>
      <c r="H59" s="273"/>
      <c r="M59" s="12"/>
      <c r="N59" s="31"/>
      <c r="O59" s="30"/>
      <c r="P59" s="30"/>
      <c r="Q59" s="30"/>
    </row>
    <row r="60" spans="1:17" s="146" customFormat="1" ht="13.9" customHeight="1">
      <c r="A60" s="80" t="str">
        <f>+A33</f>
        <v>Champ libre</v>
      </c>
      <c r="B60" s="268"/>
      <c r="C60" s="269"/>
      <c r="D60" s="269"/>
      <c r="E60" s="313"/>
      <c r="F60" s="314">
        <f>SUM(B60:E60)</f>
        <v>0</v>
      </c>
      <c r="G60" s="272"/>
      <c r="H60" s="273">
        <f>F60*G60</f>
        <v>0</v>
      </c>
      <c r="M60" s="12"/>
      <c r="N60" s="31"/>
      <c r="O60" s="30"/>
      <c r="P60" s="30"/>
      <c r="Q60" s="30"/>
    </row>
    <row r="61" spans="1:17" s="146" customFormat="1" ht="14.15" customHeight="1">
      <c r="A61" s="80" t="str">
        <f>+A34</f>
        <v>Champ libre</v>
      </c>
      <c r="B61" s="268"/>
      <c r="C61" s="269"/>
      <c r="D61" s="269"/>
      <c r="E61" s="313"/>
      <c r="F61" s="314">
        <f t="shared" ref="F61:F64" si="10">SUM(B61:E61)</f>
        <v>0</v>
      </c>
      <c r="G61" s="272"/>
      <c r="H61" s="273">
        <f t="shared" ref="H61:H64" si="11">F61*G61</f>
        <v>0</v>
      </c>
      <c r="M61" s="12"/>
      <c r="N61" s="31"/>
      <c r="O61" s="30"/>
      <c r="P61" s="30"/>
      <c r="Q61" s="30"/>
    </row>
    <row r="62" spans="1:17" s="146" customFormat="1" ht="14.15" customHeight="1">
      <c r="A62" s="80" t="str">
        <f>+A35</f>
        <v>Champ libre</v>
      </c>
      <c r="B62" s="268"/>
      <c r="C62" s="269"/>
      <c r="D62" s="269"/>
      <c r="E62" s="313"/>
      <c r="F62" s="314">
        <f t="shared" si="10"/>
        <v>0</v>
      </c>
      <c r="G62" s="272"/>
      <c r="H62" s="273">
        <f t="shared" si="11"/>
        <v>0</v>
      </c>
      <c r="M62" s="12"/>
      <c r="N62" s="31"/>
      <c r="O62" s="30"/>
      <c r="P62" s="30"/>
      <c r="Q62" s="30"/>
    </row>
    <row r="63" spans="1:17" s="146" customFormat="1" ht="14.15" customHeight="1">
      <c r="A63" s="80" t="str">
        <f>+A36</f>
        <v>Champ libre</v>
      </c>
      <c r="B63" s="268"/>
      <c r="C63" s="269"/>
      <c r="D63" s="269"/>
      <c r="E63" s="313"/>
      <c r="F63" s="314">
        <f t="shared" si="10"/>
        <v>0</v>
      </c>
      <c r="G63" s="272"/>
      <c r="H63" s="273">
        <f t="shared" si="11"/>
        <v>0</v>
      </c>
      <c r="M63" s="12"/>
      <c r="N63" s="31"/>
      <c r="O63" s="30"/>
      <c r="P63" s="30"/>
      <c r="Q63" s="30"/>
    </row>
    <row r="64" spans="1:17" s="146" customFormat="1" ht="14.15" customHeight="1" thickBot="1">
      <c r="A64" s="80" t="str">
        <f>+A37</f>
        <v>Champ libre</v>
      </c>
      <c r="B64" s="268"/>
      <c r="C64" s="269"/>
      <c r="D64" s="269"/>
      <c r="E64" s="313"/>
      <c r="F64" s="314">
        <f t="shared" si="10"/>
        <v>0</v>
      </c>
      <c r="G64" s="272"/>
      <c r="H64" s="273">
        <f t="shared" si="11"/>
        <v>0</v>
      </c>
      <c r="M64" s="12"/>
      <c r="N64" s="31"/>
      <c r="O64" s="30"/>
      <c r="P64" s="30"/>
      <c r="Q64" s="30"/>
    </row>
    <row r="65" spans="1:18" ht="14.15" customHeight="1" thickBot="1">
      <c r="A65" s="83" t="s">
        <v>75</v>
      </c>
      <c r="B65" s="106">
        <f>+SUM(B51:B64)</f>
        <v>0</v>
      </c>
      <c r="C65" s="106">
        <f>+SUM(C51:C64)</f>
        <v>0</v>
      </c>
      <c r="D65" s="106">
        <f>+SUM(D51:D64)</f>
        <v>0</v>
      </c>
      <c r="E65" s="107">
        <f>+SUM(E51:E64)</f>
        <v>110</v>
      </c>
      <c r="F65" s="108">
        <f>+SUM(F51:F64)</f>
        <v>110</v>
      </c>
      <c r="G65" s="107"/>
      <c r="H65" s="108">
        <f>+SUM(H51:H64)</f>
        <v>20832.677083658986</v>
      </c>
      <c r="I65" s="1"/>
      <c r="J65" s="2"/>
      <c r="K65" s="1"/>
      <c r="L65" s="1"/>
      <c r="M65" s="1"/>
      <c r="N65" s="2"/>
      <c r="O65" s="1"/>
    </row>
    <row r="66" spans="1:18" ht="14.15" customHeight="1" thickBot="1">
      <c r="B66" s="1"/>
      <c r="C66" s="1"/>
      <c r="D66" s="1"/>
      <c r="G66" s="154"/>
      <c r="H66" s="154"/>
      <c r="I66" s="154"/>
      <c r="N66" s="4"/>
      <c r="O66" s="4"/>
    </row>
    <row r="67" spans="1:18" ht="14.15" customHeight="1" thickBot="1">
      <c r="B67" s="1"/>
      <c r="C67" s="1"/>
      <c r="D67" s="1"/>
      <c r="E67" s="252" t="s">
        <v>128</v>
      </c>
      <c r="F67" s="108">
        <f>IF(D9=0,,+F65/D9)</f>
        <v>8.4615384615384617</v>
      </c>
      <c r="G67" s="154"/>
      <c r="H67" s="154"/>
      <c r="I67" s="154"/>
      <c r="N67" s="4"/>
      <c r="O67" s="4"/>
    </row>
    <row r="68" spans="1:18" ht="14.15" customHeight="1">
      <c r="B68" s="1"/>
      <c r="C68" s="1"/>
      <c r="D68" s="1"/>
      <c r="G68" s="154"/>
      <c r="H68" s="154"/>
      <c r="I68" s="154"/>
      <c r="N68" s="4"/>
      <c r="O68" s="4"/>
    </row>
    <row r="69" spans="1:18" ht="14.15" customHeight="1">
      <c r="A69" s="26" t="s">
        <v>139</v>
      </c>
      <c r="B69" s="26"/>
      <c r="D69" s="1"/>
      <c r="G69" s="9"/>
      <c r="H69" s="318"/>
      <c r="I69" s="318"/>
      <c r="J69" s="318"/>
      <c r="K69" s="318"/>
      <c r="L69" s="318"/>
      <c r="M69" s="318"/>
      <c r="N69" s="318"/>
      <c r="O69" s="318"/>
      <c r="P69" s="307"/>
      <c r="Q69" s="307"/>
    </row>
    <row r="70" spans="1:18" ht="14.15" customHeight="1" thickBot="1">
      <c r="D70" s="1"/>
      <c r="G70" s="318"/>
      <c r="H70" s="318"/>
      <c r="I70" s="318"/>
      <c r="J70" s="318"/>
      <c r="K70" s="318"/>
      <c r="L70" s="318"/>
      <c r="M70" s="318"/>
      <c r="N70" s="318"/>
      <c r="O70" s="318"/>
      <c r="P70" s="307"/>
      <c r="Q70" s="307"/>
    </row>
    <row r="71" spans="1:18" ht="54.5" thickBot="1">
      <c r="A71" s="7" t="s">
        <v>38</v>
      </c>
      <c r="B71" s="6" t="s">
        <v>135</v>
      </c>
      <c r="C71" s="6" t="s">
        <v>136</v>
      </c>
      <c r="D71" s="81" t="s">
        <v>137</v>
      </c>
      <c r="E71" s="81" t="s">
        <v>53</v>
      </c>
      <c r="G71" s="318"/>
      <c r="H71" s="318"/>
      <c r="I71" s="318"/>
      <c r="J71" s="318"/>
      <c r="K71" s="318"/>
      <c r="L71" s="318"/>
      <c r="M71" s="318"/>
      <c r="N71" s="318"/>
      <c r="O71" s="318"/>
      <c r="P71" s="309"/>
      <c r="Q71" s="9"/>
      <c r="R71" s="5"/>
    </row>
    <row r="72" spans="1:18" ht="14.15" customHeight="1">
      <c r="A72" s="93" t="s">
        <v>138</v>
      </c>
      <c r="B72" s="315">
        <v>650</v>
      </c>
      <c r="C72" s="306">
        <f>$D$9</f>
        <v>13</v>
      </c>
      <c r="D72" s="274">
        <f>B72*C72</f>
        <v>8450</v>
      </c>
      <c r="E72" s="274">
        <f>D72</f>
        <v>8450</v>
      </c>
      <c r="G72" s="318"/>
      <c r="H72" s="318"/>
      <c r="I72" s="318"/>
      <c r="J72" s="318"/>
      <c r="K72" s="318"/>
      <c r="L72" s="318"/>
      <c r="M72" s="318"/>
      <c r="N72" s="318"/>
      <c r="O72" s="318"/>
      <c r="P72" s="309"/>
      <c r="Q72" s="9"/>
      <c r="R72" s="5"/>
    </row>
    <row r="73" spans="1:18" ht="14.15" customHeight="1">
      <c r="A73" s="84" t="s">
        <v>140</v>
      </c>
      <c r="B73" s="315"/>
      <c r="C73" s="306">
        <f t="shared" ref="C73:C81" si="12">$D$9</f>
        <v>13</v>
      </c>
      <c r="D73" s="274">
        <f>B73*C73</f>
        <v>0</v>
      </c>
      <c r="E73" s="274">
        <f t="shared" ref="E73:E81" si="13">IF(B73&lt;&gt;0,+B73*D73,0)</f>
        <v>0</v>
      </c>
      <c r="G73" s="318"/>
      <c r="H73" s="318"/>
      <c r="I73" s="318"/>
      <c r="J73" s="318"/>
      <c r="K73" s="318"/>
      <c r="L73" s="318"/>
      <c r="M73" s="318"/>
      <c r="N73" s="318"/>
      <c r="O73" s="318"/>
      <c r="P73" s="309"/>
      <c r="Q73" s="9"/>
      <c r="R73" s="5"/>
    </row>
    <row r="74" spans="1:18" ht="14.15" customHeight="1">
      <c r="A74" s="84" t="s">
        <v>143</v>
      </c>
      <c r="B74" s="315"/>
      <c r="C74" s="306">
        <f t="shared" si="12"/>
        <v>13</v>
      </c>
      <c r="D74" s="274">
        <f t="shared" ref="D74:D81" si="14">B74*C74</f>
        <v>0</v>
      </c>
      <c r="E74" s="274">
        <f t="shared" si="13"/>
        <v>0</v>
      </c>
      <c r="G74" s="318"/>
      <c r="H74" s="318"/>
      <c r="I74" s="318"/>
      <c r="J74" s="318"/>
      <c r="K74" s="318"/>
      <c r="L74" s="318"/>
      <c r="M74" s="318"/>
      <c r="N74" s="318"/>
      <c r="O74" s="318"/>
      <c r="P74" s="309"/>
      <c r="Q74" s="9"/>
      <c r="R74" s="5"/>
    </row>
    <row r="75" spans="1:18" ht="14.15" customHeight="1">
      <c r="A75" s="84" t="s">
        <v>142</v>
      </c>
      <c r="B75" s="315"/>
      <c r="C75" s="306">
        <f t="shared" si="12"/>
        <v>13</v>
      </c>
      <c r="D75" s="274">
        <f t="shared" si="14"/>
        <v>0</v>
      </c>
      <c r="E75" s="274">
        <f t="shared" si="13"/>
        <v>0</v>
      </c>
      <c r="G75" s="318"/>
      <c r="H75" s="318"/>
      <c r="I75" s="318"/>
      <c r="J75" s="318"/>
      <c r="K75" s="318"/>
      <c r="L75" s="318"/>
      <c r="M75" s="318"/>
      <c r="N75" s="318"/>
      <c r="O75" s="318"/>
      <c r="P75" s="309"/>
      <c r="Q75" s="9"/>
      <c r="R75" s="5"/>
    </row>
    <row r="76" spans="1:18" ht="14.15" customHeight="1">
      <c r="A76" s="84"/>
      <c r="B76" s="315"/>
      <c r="C76" s="306">
        <f t="shared" si="12"/>
        <v>13</v>
      </c>
      <c r="D76" s="274">
        <f t="shared" si="14"/>
        <v>0</v>
      </c>
      <c r="E76" s="274">
        <f t="shared" si="13"/>
        <v>0</v>
      </c>
      <c r="G76" s="318"/>
      <c r="H76" s="318"/>
      <c r="I76" s="318"/>
      <c r="J76" s="318"/>
      <c r="K76" s="318"/>
      <c r="L76" s="318"/>
      <c r="M76" s="318"/>
      <c r="N76" s="318"/>
      <c r="O76" s="318"/>
      <c r="P76" s="309"/>
      <c r="Q76" s="9"/>
      <c r="R76" s="5"/>
    </row>
    <row r="77" spans="1:18" ht="14.15" customHeight="1">
      <c r="A77" s="93"/>
      <c r="B77" s="315"/>
      <c r="C77" s="306">
        <f t="shared" si="12"/>
        <v>13</v>
      </c>
      <c r="D77" s="274">
        <f t="shared" si="14"/>
        <v>0</v>
      </c>
      <c r="E77" s="275">
        <f t="shared" si="13"/>
        <v>0</v>
      </c>
      <c r="G77" s="318"/>
      <c r="H77" s="318"/>
      <c r="I77" s="318"/>
      <c r="J77" s="318"/>
      <c r="K77" s="318"/>
      <c r="L77" s="318"/>
      <c r="M77" s="318"/>
      <c r="N77" s="318"/>
      <c r="O77" s="318"/>
      <c r="P77" s="309"/>
      <c r="Q77" s="9"/>
      <c r="R77" s="5"/>
    </row>
    <row r="78" spans="1:18" ht="14.15" customHeight="1">
      <c r="A78" s="85"/>
      <c r="B78" s="315"/>
      <c r="C78" s="306">
        <f t="shared" si="12"/>
        <v>13</v>
      </c>
      <c r="D78" s="274">
        <f t="shared" si="14"/>
        <v>0</v>
      </c>
      <c r="E78" s="275">
        <f t="shared" si="13"/>
        <v>0</v>
      </c>
      <c r="G78" s="318"/>
      <c r="H78" s="318"/>
      <c r="I78" s="318"/>
      <c r="J78" s="318"/>
      <c r="K78" s="318"/>
      <c r="L78" s="318"/>
      <c r="M78" s="318"/>
      <c r="N78" s="318"/>
      <c r="O78" s="318"/>
      <c r="P78" s="309"/>
      <c r="Q78" s="9"/>
      <c r="R78" s="5"/>
    </row>
    <row r="79" spans="1:18" ht="14.15" customHeight="1">
      <c r="A79" s="85"/>
      <c r="B79" s="315"/>
      <c r="C79" s="306">
        <f t="shared" si="12"/>
        <v>13</v>
      </c>
      <c r="D79" s="274">
        <f t="shared" si="14"/>
        <v>0</v>
      </c>
      <c r="E79" s="275">
        <f t="shared" si="13"/>
        <v>0</v>
      </c>
      <c r="G79" s="318"/>
      <c r="H79" s="318"/>
      <c r="I79" s="318"/>
      <c r="J79" s="318"/>
      <c r="K79" s="318"/>
      <c r="L79" s="318"/>
      <c r="M79" s="318"/>
      <c r="N79" s="318"/>
      <c r="O79" s="318"/>
      <c r="P79" s="309"/>
      <c r="Q79" s="9"/>
      <c r="R79" s="5"/>
    </row>
    <row r="80" spans="1:18" ht="14.15" customHeight="1">
      <c r="A80" s="85"/>
      <c r="B80" s="315"/>
      <c r="C80" s="306">
        <f t="shared" si="12"/>
        <v>13</v>
      </c>
      <c r="D80" s="274">
        <f t="shared" si="14"/>
        <v>0</v>
      </c>
      <c r="E80" s="275">
        <f t="shared" si="13"/>
        <v>0</v>
      </c>
      <c r="G80" s="318"/>
      <c r="H80" s="318"/>
      <c r="I80" s="318"/>
      <c r="J80" s="318"/>
      <c r="K80" s="318"/>
      <c r="L80" s="318"/>
      <c r="M80" s="318"/>
      <c r="N80" s="318"/>
      <c r="O80" s="318"/>
      <c r="P80" s="309"/>
      <c r="Q80" s="9"/>
      <c r="R80" s="5"/>
    </row>
    <row r="81" spans="1:18" ht="14.15" customHeight="1" thickBot="1">
      <c r="A81" s="85"/>
      <c r="B81" s="315"/>
      <c r="C81" s="306">
        <f t="shared" si="12"/>
        <v>13</v>
      </c>
      <c r="D81" s="274">
        <f t="shared" si="14"/>
        <v>0</v>
      </c>
      <c r="E81" s="275">
        <f t="shared" si="13"/>
        <v>0</v>
      </c>
      <c r="G81" s="318"/>
      <c r="H81" s="318"/>
      <c r="I81" s="318"/>
      <c r="J81" s="318"/>
      <c r="K81" s="318"/>
      <c r="L81" s="318"/>
      <c r="M81" s="318"/>
      <c r="N81" s="318"/>
      <c r="O81" s="318"/>
      <c r="P81" s="309"/>
      <c r="Q81" s="9"/>
      <c r="R81" s="5"/>
    </row>
    <row r="82" spans="1:18" ht="14.15" customHeight="1" thickBot="1">
      <c r="A82" s="316"/>
      <c r="B82" s="317"/>
      <c r="C82" s="317"/>
      <c r="D82" s="255"/>
      <c r="E82" s="276">
        <f>SUM(E72:E81)</f>
        <v>8450</v>
      </c>
      <c r="G82" s="318"/>
      <c r="H82" s="318"/>
      <c r="I82" s="318"/>
      <c r="J82" s="318"/>
      <c r="K82" s="318"/>
      <c r="L82" s="318"/>
      <c r="M82" s="318"/>
      <c r="N82" s="318"/>
      <c r="O82" s="318"/>
      <c r="P82" s="309"/>
      <c r="Q82" s="9"/>
      <c r="R82" s="5"/>
    </row>
    <row r="83" spans="1:18" ht="14.15" customHeight="1">
      <c r="E83" s="1"/>
      <c r="F83" s="1"/>
      <c r="G83" s="318"/>
      <c r="H83" s="318"/>
      <c r="I83" s="318"/>
      <c r="J83" s="318"/>
      <c r="K83" s="318"/>
      <c r="L83" s="318"/>
      <c r="M83" s="318"/>
      <c r="N83" s="318"/>
      <c r="O83" s="318"/>
      <c r="P83" s="9"/>
      <c r="Q83" s="5"/>
    </row>
    <row r="84" spans="1:18" ht="14.15" customHeight="1">
      <c r="B84" s="10"/>
      <c r="C84" s="1"/>
      <c r="E84" s="10"/>
      <c r="F84" s="10"/>
      <c r="G84" s="11"/>
      <c r="H84" s="307"/>
      <c r="I84" s="10"/>
      <c r="J84" s="10"/>
      <c r="K84" s="11"/>
      <c r="L84" s="138"/>
      <c r="M84" s="307"/>
      <c r="N84" s="308"/>
      <c r="O84" s="309"/>
      <c r="P84" s="9"/>
      <c r="Q84" s="5"/>
    </row>
    <row r="85" spans="1:18" ht="14.15" customHeight="1">
      <c r="B85" s="10"/>
      <c r="C85" s="1"/>
      <c r="D85" s="1"/>
      <c r="E85" s="1"/>
      <c r="F85" s="1"/>
      <c r="G85" s="9"/>
      <c r="H85" s="9"/>
      <c r="I85" s="138"/>
      <c r="J85" s="138"/>
      <c r="K85" s="138"/>
      <c r="L85" s="138"/>
      <c r="M85" s="307"/>
      <c r="N85" s="308"/>
      <c r="O85" s="309"/>
      <c r="P85" s="9"/>
      <c r="Q85" s="5"/>
    </row>
    <row r="86" spans="1:18" ht="82.5" customHeight="1">
      <c r="D86" s="1"/>
      <c r="G86" s="307"/>
      <c r="H86" s="319"/>
      <c r="I86" s="319"/>
      <c r="J86" s="319"/>
      <c r="K86" s="319"/>
      <c r="L86" s="319"/>
      <c r="M86" s="320"/>
      <c r="N86" s="320"/>
      <c r="O86" s="321"/>
      <c r="P86" s="9"/>
      <c r="Q86" s="5"/>
    </row>
    <row r="87" spans="1:18" ht="14.15" customHeight="1">
      <c r="D87" s="1"/>
      <c r="G87" s="307"/>
      <c r="H87" s="319"/>
      <c r="I87" s="319"/>
      <c r="J87" s="319"/>
      <c r="K87" s="319"/>
      <c r="L87" s="319"/>
      <c r="M87" s="319"/>
      <c r="N87" s="319"/>
      <c r="O87" s="322"/>
      <c r="P87" s="9"/>
      <c r="Q87" s="5"/>
    </row>
    <row r="88" spans="1:18" ht="14.15" customHeight="1">
      <c r="G88" s="307"/>
      <c r="H88" s="307"/>
      <c r="I88" s="307"/>
      <c r="J88" s="307"/>
      <c r="K88" s="307"/>
      <c r="L88" s="307"/>
      <c r="M88" s="307"/>
      <c r="N88" s="308"/>
      <c r="O88" s="9"/>
      <c r="P88" s="9"/>
      <c r="Q88" s="5"/>
    </row>
    <row r="89" spans="1:18" ht="14.15" customHeight="1">
      <c r="G89" s="307"/>
      <c r="H89" s="307"/>
      <c r="I89" s="307"/>
      <c r="J89" s="307"/>
      <c r="K89" s="307"/>
      <c r="L89" s="307"/>
      <c r="M89" s="307"/>
      <c r="N89" s="308"/>
      <c r="O89" s="9"/>
      <c r="P89" s="9"/>
      <c r="Q89" s="5"/>
    </row>
    <row r="90" spans="1:18" ht="14.15" customHeight="1">
      <c r="N90" s="2"/>
      <c r="O90" s="1"/>
      <c r="P90" s="1"/>
      <c r="Q90" s="5"/>
    </row>
    <row r="91" spans="1:18" ht="14.15" customHeight="1">
      <c r="N91" s="2"/>
      <c r="O91" s="1"/>
      <c r="P91" s="1"/>
      <c r="Q91" s="5"/>
    </row>
    <row r="92" spans="1:18" ht="14.15" customHeight="1">
      <c r="N92" s="2"/>
      <c r="O92" s="1"/>
      <c r="P92" s="1"/>
      <c r="Q92" s="5"/>
    </row>
    <row r="93" spans="1:18" ht="14.15" customHeight="1">
      <c r="N93" s="2"/>
      <c r="O93" s="1"/>
      <c r="P93" s="1"/>
      <c r="Q93" s="5"/>
    </row>
    <row r="94" spans="1:18" ht="14.15" customHeight="1">
      <c r="N94" s="2"/>
      <c r="O94" s="1"/>
      <c r="P94" s="1"/>
      <c r="Q94" s="5"/>
    </row>
    <row r="95" spans="1:18" ht="14.15" customHeight="1">
      <c r="Q95" s="5"/>
    </row>
    <row r="96" spans="1:18" ht="14.15" customHeight="1">
      <c r="Q96" s="5"/>
    </row>
    <row r="97" spans="1:17" ht="14.15" customHeight="1">
      <c r="Q97" s="5"/>
    </row>
    <row r="98" spans="1:17" ht="14.15" customHeight="1">
      <c r="Q98" s="5"/>
    </row>
    <row r="99" spans="1:17" ht="14.15" customHeight="1">
      <c r="Q99" s="5"/>
    </row>
    <row r="104" spans="1:17" s="155" customFormat="1" ht="14.1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11" spans="1:17" ht="14.15" customHeight="1">
      <c r="O111" s="138"/>
      <c r="P111" s="138"/>
      <c r="Q111" s="138"/>
    </row>
    <row r="112" spans="1:17" ht="14.15" customHeight="1">
      <c r="O112" s="138"/>
      <c r="P112" s="138"/>
      <c r="Q112" s="138"/>
    </row>
    <row r="113" spans="15:17" ht="14.15" customHeight="1">
      <c r="O113" s="138"/>
      <c r="P113" s="138"/>
      <c r="Q113" s="138"/>
    </row>
    <row r="114" spans="15:17" ht="14.15" customHeight="1">
      <c r="O114" s="327"/>
      <c r="P114" s="328"/>
      <c r="Q114" s="328"/>
    </row>
    <row r="115" spans="15:17" ht="14.15" customHeight="1">
      <c r="O115" s="327"/>
      <c r="P115" s="328"/>
      <c r="Q115" s="328"/>
    </row>
    <row r="116" spans="15:17" ht="14.15" customHeight="1">
      <c r="O116" s="138"/>
      <c r="P116" s="138"/>
      <c r="Q116" s="138"/>
    </row>
    <row r="117" spans="15:17" ht="14.15" customHeight="1">
      <c r="O117" s="138"/>
      <c r="P117" s="138"/>
      <c r="Q117" s="138"/>
    </row>
    <row r="118" spans="15:17" ht="14.15" customHeight="1">
      <c r="O118" s="138"/>
      <c r="P118" s="138"/>
      <c r="Q118" s="138"/>
    </row>
    <row r="119" spans="15:17" ht="14.15" customHeight="1">
      <c r="O119" s="138"/>
      <c r="P119" s="138"/>
      <c r="Q119" s="138"/>
    </row>
  </sheetData>
  <mergeCells count="12">
    <mergeCell ref="L9:N9"/>
    <mergeCell ref="O115:Q115"/>
    <mergeCell ref="O114:Q114"/>
    <mergeCell ref="N22:N23"/>
    <mergeCell ref="B22:M22"/>
    <mergeCell ref="L10:N10"/>
    <mergeCell ref="A48:B48"/>
    <mergeCell ref="A18:B18"/>
    <mergeCell ref="A20:B20"/>
    <mergeCell ref="A22:A23"/>
    <mergeCell ref="I18:M20"/>
    <mergeCell ref="B44:H46"/>
  </mergeCells>
  <dataValidations count="3">
    <dataValidation type="list" allowBlank="1" showInputMessage="1" showErrorMessage="1" sqref="B42" xr:uid="{00000000-0002-0000-0000-000001000000}">
      <formula1>"Réelles,Prévisionnelles"</formula1>
    </dataValidation>
    <dataValidation allowBlank="1" sqref="B43:B45" xr:uid="{00000000-0002-0000-0000-000002000000}"/>
    <dataValidation type="list" allowBlank="1" showInputMessage="1" showErrorMessage="1" sqref="G24:G37 C24:C37 K24:K37" xr:uid="{00000000-0002-0000-0000-000000000000}">
      <formula1>$E$9:$E$10</formula1>
    </dataValidation>
  </dataValidations>
  <pageMargins left="0.7" right="0.7" top="0.75" bottom="0.75" header="0.3" footer="0.3"/>
  <pageSetup paperSize="9" scale="3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'C:\Users\Bouta$99\Documents\a détruire\[Matrice budgétaire.xlsx]Feuil3'!#REF!</xm:f>
          </x14:formula1>
          <xm:sqref>K87 M87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8"/>
  <sheetViews>
    <sheetView showGridLines="0" tabSelected="1" zoomScale="88" zoomScaleNormal="88" workbookViewId="0">
      <selection activeCell="A40" sqref="A40"/>
    </sheetView>
  </sheetViews>
  <sheetFormatPr baseColWidth="10" defaultColWidth="11.453125" defaultRowHeight="14.15" customHeight="1"/>
  <cols>
    <col min="1" max="1" width="57.26953125" style="114" customWidth="1"/>
    <col min="2" max="2" width="1.7265625" style="114" customWidth="1"/>
    <col min="3" max="4" width="14.7265625" style="125" customWidth="1"/>
    <col min="5" max="5" width="20.7265625" style="114" customWidth="1"/>
    <col min="6" max="6" width="8.7265625" style="126" customWidth="1"/>
    <col min="7" max="7" width="14.7265625" style="125" customWidth="1"/>
    <col min="8" max="8" width="14.7265625" style="127" customWidth="1"/>
    <col min="9" max="9" width="6.7265625" style="242" customWidth="1"/>
    <col min="10" max="10" width="1.7265625" style="114" customWidth="1"/>
    <col min="11" max="12" width="14.7265625" style="125" customWidth="1"/>
    <col min="13" max="13" width="8.7265625" style="114" customWidth="1"/>
    <col min="14" max="15" width="14.7265625" style="125" customWidth="1"/>
    <col min="16" max="16" width="6.7265625" style="125" customWidth="1"/>
    <col min="17" max="17" width="1.7265625" style="114" customWidth="1"/>
    <col min="18" max="18" width="14.7265625" style="125" customWidth="1"/>
    <col min="19" max="19" width="6.7265625" style="199" customWidth="1"/>
    <col min="20" max="16384" width="11.453125" style="114"/>
  </cols>
  <sheetData>
    <row r="1" spans="1:19" ht="14.15" customHeight="1">
      <c r="A1" s="109" t="str">
        <f>'Cout Personnel '!A1</f>
        <v xml:space="preserve">UFA : </v>
      </c>
      <c r="B1" s="42"/>
      <c r="C1" s="70"/>
      <c r="D1" s="70"/>
      <c r="E1" s="42"/>
      <c r="F1" s="43"/>
      <c r="G1" s="110"/>
      <c r="H1" s="57"/>
      <c r="I1" s="192"/>
      <c r="J1" s="44"/>
      <c r="K1" s="57"/>
      <c r="L1" s="58"/>
      <c r="M1" s="45"/>
      <c r="N1" s="111"/>
      <c r="O1" s="111"/>
      <c r="P1" s="111"/>
      <c r="Q1" s="112"/>
      <c r="R1" s="111"/>
      <c r="S1" s="113"/>
    </row>
    <row r="2" spans="1:19" ht="14.15" customHeight="1">
      <c r="A2" s="115" t="str">
        <f>'Cout Personnel '!A2</f>
        <v>Composante :</v>
      </c>
      <c r="B2" s="46"/>
      <c r="C2" s="71"/>
      <c r="D2" s="71"/>
      <c r="E2" s="46"/>
      <c r="F2" s="47"/>
      <c r="G2" s="116"/>
      <c r="H2" s="59"/>
      <c r="I2" s="193"/>
      <c r="J2" s="48"/>
      <c r="K2" s="59"/>
      <c r="L2" s="60"/>
      <c r="M2" s="49"/>
      <c r="N2" s="117"/>
      <c r="O2" s="117"/>
      <c r="P2" s="117"/>
      <c r="Q2" s="118"/>
      <c r="R2" s="117"/>
      <c r="S2" s="119"/>
    </row>
    <row r="3" spans="1:19" ht="14.15" customHeight="1">
      <c r="A3" s="115" t="str">
        <f>'Cout Personnel '!A3</f>
        <v xml:space="preserve">Formation | Code RNCP : </v>
      </c>
      <c r="B3" s="46"/>
      <c r="C3" s="71"/>
      <c r="D3" s="71"/>
      <c r="E3" s="46"/>
      <c r="F3" s="47"/>
      <c r="G3" s="116"/>
      <c r="H3" s="59"/>
      <c r="I3" s="193"/>
      <c r="J3" s="48"/>
      <c r="K3" s="59"/>
      <c r="L3" s="60"/>
      <c r="M3" s="49"/>
      <c r="N3" s="117"/>
      <c r="O3" s="117"/>
      <c r="P3" s="117"/>
      <c r="Q3" s="118"/>
      <c r="R3" s="117"/>
      <c r="S3" s="119"/>
    </row>
    <row r="4" spans="1:19" ht="14.15" customHeight="1">
      <c r="A4" s="120" t="str">
        <f>'Cout Personnel '!A4</f>
        <v>Année Civile 2023</v>
      </c>
      <c r="B4" s="50"/>
      <c r="C4" s="72"/>
      <c r="D4" s="72"/>
      <c r="E4" s="50"/>
      <c r="F4" s="51"/>
      <c r="G4" s="121"/>
      <c r="H4" s="61"/>
      <c r="I4" s="194"/>
      <c r="J4" s="52"/>
      <c r="K4" s="61"/>
      <c r="L4" s="62"/>
      <c r="M4" s="53"/>
      <c r="N4" s="122"/>
      <c r="O4" s="122"/>
      <c r="P4" s="122"/>
      <c r="Q4" s="123"/>
      <c r="R4" s="122"/>
      <c r="S4" s="124"/>
    </row>
    <row r="6" spans="1:19" ht="14.15" customHeight="1">
      <c r="A6" s="36" t="s">
        <v>56</v>
      </c>
      <c r="B6" s="37"/>
      <c r="C6" s="56"/>
      <c r="D6" s="56"/>
      <c r="E6" s="38"/>
      <c r="F6" s="39"/>
      <c r="G6" s="68"/>
      <c r="H6" s="68"/>
      <c r="I6" s="195"/>
      <c r="J6" s="40"/>
      <c r="K6" s="63"/>
      <c r="L6" s="64"/>
      <c r="M6" s="41"/>
      <c r="N6" s="56"/>
      <c r="O6" s="56"/>
      <c r="P6" s="56"/>
      <c r="Q6" s="128"/>
      <c r="R6" s="56"/>
      <c r="S6" s="54"/>
    </row>
    <row r="7" spans="1:19" s="201" customFormat="1" ht="14.15" customHeight="1">
      <c r="A7" s="27"/>
      <c r="B7" s="28"/>
      <c r="C7" s="55"/>
      <c r="D7" s="55"/>
      <c r="E7" s="19"/>
      <c r="F7" s="29"/>
      <c r="G7" s="69"/>
      <c r="H7" s="69"/>
      <c r="I7" s="196"/>
      <c r="J7" s="17"/>
      <c r="K7" s="65"/>
      <c r="L7" s="66"/>
      <c r="M7" s="18"/>
      <c r="N7" s="55"/>
      <c r="O7" s="55"/>
      <c r="P7" s="55"/>
      <c r="Q7" s="129"/>
      <c r="R7" s="55"/>
      <c r="S7" s="199"/>
    </row>
    <row r="8" spans="1:19" ht="14.15" customHeight="1">
      <c r="A8" s="35" t="s">
        <v>50</v>
      </c>
      <c r="B8" s="202"/>
      <c r="C8" s="203"/>
      <c r="D8" s="203"/>
      <c r="E8" s="202"/>
      <c r="F8" s="204"/>
      <c r="G8" s="203"/>
      <c r="H8" s="205"/>
      <c r="I8" s="206"/>
      <c r="J8" s="202"/>
      <c r="K8" s="203"/>
      <c r="L8" s="203"/>
      <c r="M8" s="202"/>
      <c r="N8" s="203"/>
      <c r="O8" s="203"/>
      <c r="P8" s="203"/>
      <c r="Q8" s="202"/>
      <c r="R8" s="203"/>
      <c r="S8" s="207"/>
    </row>
    <row r="9" spans="1:19" ht="14.15" customHeight="1">
      <c r="C9" s="208"/>
      <c r="F9" s="209"/>
      <c r="G9" s="67"/>
      <c r="H9" s="67"/>
      <c r="I9" s="197"/>
      <c r="J9" s="8"/>
      <c r="K9" s="67"/>
    </row>
    <row r="10" spans="1:19" s="211" customFormat="1" ht="14.15" customHeight="1">
      <c r="A10" s="210" t="s">
        <v>57</v>
      </c>
      <c r="B10" s="114"/>
      <c r="C10" s="367" t="s">
        <v>39</v>
      </c>
      <c r="D10" s="368"/>
      <c r="E10" s="368"/>
      <c r="F10" s="368"/>
      <c r="G10" s="368"/>
      <c r="H10" s="368"/>
      <c r="I10" s="369"/>
      <c r="K10" s="370" t="s">
        <v>64</v>
      </c>
      <c r="L10" s="371"/>
      <c r="M10" s="371"/>
      <c r="N10" s="371"/>
      <c r="O10" s="371"/>
      <c r="P10" s="372"/>
      <c r="R10" s="390" t="s">
        <v>31</v>
      </c>
      <c r="S10" s="397" t="s">
        <v>10</v>
      </c>
    </row>
    <row r="11" spans="1:19" ht="14.15" customHeight="1">
      <c r="A11" s="212"/>
      <c r="C11" s="380" t="s">
        <v>11</v>
      </c>
      <c r="D11" s="382" t="s">
        <v>9</v>
      </c>
      <c r="E11" s="382"/>
      <c r="F11" s="383"/>
      <c r="G11" s="399"/>
      <c r="H11" s="380" t="s">
        <v>41</v>
      </c>
      <c r="I11" s="375" t="s">
        <v>10</v>
      </c>
      <c r="K11" s="392" t="s">
        <v>11</v>
      </c>
      <c r="L11" s="393" t="s">
        <v>9</v>
      </c>
      <c r="M11" s="394"/>
      <c r="N11" s="395"/>
      <c r="O11" s="396" t="s">
        <v>41</v>
      </c>
      <c r="P11" s="388" t="s">
        <v>10</v>
      </c>
      <c r="R11" s="391"/>
      <c r="S11" s="398"/>
    </row>
    <row r="12" spans="1:19" ht="48">
      <c r="C12" s="381"/>
      <c r="D12" s="213" t="s">
        <v>13</v>
      </c>
      <c r="E12" s="214" t="s">
        <v>97</v>
      </c>
      <c r="F12" s="215" t="s">
        <v>10</v>
      </c>
      <c r="G12" s="213" t="s">
        <v>12</v>
      </c>
      <c r="H12" s="381"/>
      <c r="I12" s="376"/>
      <c r="K12" s="385"/>
      <c r="L12" s="245" t="s">
        <v>13</v>
      </c>
      <c r="M12" s="244" t="s">
        <v>10</v>
      </c>
      <c r="N12" s="245" t="s">
        <v>12</v>
      </c>
      <c r="O12" s="363"/>
      <c r="P12" s="389"/>
      <c r="R12" s="391"/>
      <c r="S12" s="398"/>
    </row>
    <row r="13" spans="1:19" ht="14.15" customHeight="1">
      <c r="A13" s="177" t="s">
        <v>127</v>
      </c>
      <c r="B13" s="218"/>
      <c r="C13" s="277">
        <f>+SUM(C14:C15)</f>
        <v>34995.383713100251</v>
      </c>
      <c r="D13" s="277">
        <f>+SUM(D14:D15)</f>
        <v>0</v>
      </c>
      <c r="E13" s="278"/>
      <c r="F13" s="179"/>
      <c r="G13" s="277">
        <f>+SUM(G14:G15)</f>
        <v>0</v>
      </c>
      <c r="H13" s="277">
        <f>+SUM(H14:H15)</f>
        <v>34995.383713100251</v>
      </c>
      <c r="I13" s="220">
        <f>IF($H$39=0,0%,H13/$H$39)</f>
        <v>0.37100092749217622</v>
      </c>
      <c r="K13" s="289">
        <f>SUM(K14:K15)</f>
        <v>0</v>
      </c>
      <c r="L13" s="289">
        <f>SUM(L14:L15)</f>
        <v>0</v>
      </c>
      <c r="M13" s="181"/>
      <c r="N13" s="289">
        <f>SUM(N14:N15)</f>
        <v>0</v>
      </c>
      <c r="O13" s="289">
        <f>SUM(O14:O15)</f>
        <v>0</v>
      </c>
      <c r="P13" s="221">
        <f>IF($O$39=0,0%,O13/$O$39)</f>
        <v>0</v>
      </c>
      <c r="R13" s="293">
        <f>+H13+O13</f>
        <v>34995.383713100251</v>
      </c>
      <c r="S13" s="222">
        <f>IF($R$39=0,0%,R13/$R$39)</f>
        <v>0.37100092749217622</v>
      </c>
    </row>
    <row r="14" spans="1:19" ht="14.15" customHeight="1">
      <c r="A14" s="182" t="s">
        <v>84</v>
      </c>
      <c r="B14" s="218"/>
      <c r="C14" s="279">
        <f>IF(ISERROR('Cout Personnel '!N38),,'Cout Personnel '!N38)</f>
        <v>34995.383713100251</v>
      </c>
      <c r="D14" s="280"/>
      <c r="E14" s="281"/>
      <c r="F14" s="183">
        <f>IF(ISBLANK(E14),,IF(E14="Département",Clés!$B$1,IF(E14="Composante",Clés!$B$2,Clés!$B$3)))</f>
        <v>0</v>
      </c>
      <c r="G14" s="287">
        <f>+D14*F14</f>
        <v>0</v>
      </c>
      <c r="H14" s="287">
        <f>+C14+G14</f>
        <v>34995.383713100251</v>
      </c>
      <c r="I14" s="364"/>
      <c r="K14" s="290"/>
      <c r="L14" s="291"/>
      <c r="M14" s="183">
        <f>IF(ISERROR('Cout Personnel '!$E$14),,'Cout Personnel '!$E$14)</f>
        <v>0</v>
      </c>
      <c r="N14" s="287">
        <f>+L14*M14</f>
        <v>0</v>
      </c>
      <c r="O14" s="287">
        <f>K14+N14</f>
        <v>0</v>
      </c>
      <c r="P14" s="364"/>
      <c r="R14" s="287">
        <f t="shared" ref="R14:R22" si="0">+H14+O14</f>
        <v>34995.383713100251</v>
      </c>
      <c r="S14" s="246"/>
    </row>
    <row r="15" spans="1:19" ht="14.15" customHeight="1">
      <c r="A15" s="182" t="s">
        <v>68</v>
      </c>
      <c r="B15" s="218"/>
      <c r="C15" s="310"/>
      <c r="D15" s="282"/>
      <c r="E15" s="283"/>
      <c r="F15" s="223"/>
      <c r="G15" s="282"/>
      <c r="H15" s="287">
        <f>+C15+G15</f>
        <v>0</v>
      </c>
      <c r="I15" s="365"/>
      <c r="K15" s="290"/>
      <c r="L15" s="291"/>
      <c r="M15" s="183">
        <f>IF(ISERROR('Cout Personnel '!$E$14),,'Cout Personnel '!$E$14)</f>
        <v>0</v>
      </c>
      <c r="N15" s="287">
        <f t="shared" ref="N15" si="1">+L15*M15</f>
        <v>0</v>
      </c>
      <c r="O15" s="287">
        <f>K15+N15</f>
        <v>0</v>
      </c>
      <c r="P15" s="365"/>
      <c r="R15" s="287">
        <f t="shared" si="0"/>
        <v>0</v>
      </c>
      <c r="S15" s="248"/>
    </row>
    <row r="16" spans="1:19" ht="14.15" customHeight="1">
      <c r="A16" s="177" t="s">
        <v>126</v>
      </c>
      <c r="B16" s="218"/>
      <c r="C16" s="277">
        <f>+SUM(C17:C18)</f>
        <v>30633.447083658986</v>
      </c>
      <c r="D16" s="277">
        <f>+SUM(D17:D18)</f>
        <v>0</v>
      </c>
      <c r="E16" s="278"/>
      <c r="F16" s="179"/>
      <c r="G16" s="277">
        <f>+SUM(G17:G18)</f>
        <v>0</v>
      </c>
      <c r="H16" s="277">
        <f>+SUM(H17:H18)</f>
        <v>30633.447083658986</v>
      </c>
      <c r="I16" s="220">
        <f>IF($H$39=0,0%,H16/$H$39)</f>
        <v>0.32475818449350424</v>
      </c>
      <c r="K16" s="289">
        <f>SUM(K17:K18)</f>
        <v>0</v>
      </c>
      <c r="L16" s="289">
        <f>SUM(L17:L18)</f>
        <v>0</v>
      </c>
      <c r="M16" s="181"/>
      <c r="N16" s="289">
        <f>SUM(N17:N18)</f>
        <v>0</v>
      </c>
      <c r="O16" s="289">
        <f>SUM(O17:O18)</f>
        <v>0</v>
      </c>
      <c r="P16" s="221">
        <f>IF($O$39=0,0%,O16/$O$39)</f>
        <v>0</v>
      </c>
      <c r="R16" s="293">
        <f t="shared" si="0"/>
        <v>30633.447083658986</v>
      </c>
      <c r="S16" s="222">
        <f>IF($R$39=0,0%,R16/$R$39)</f>
        <v>0.32475818449350424</v>
      </c>
    </row>
    <row r="17" spans="1:19" ht="14.15" customHeight="1">
      <c r="A17" s="182" t="s">
        <v>83</v>
      </c>
      <c r="B17" s="218"/>
      <c r="C17" s="279">
        <f>'Cout Personnel '!H65+'Cout Personnel '!E82</f>
        <v>29282.677083658986</v>
      </c>
      <c r="D17" s="280"/>
      <c r="E17" s="281"/>
      <c r="F17" s="183">
        <f>IF(ISBLANK(E17),,IF(E17="Département",Clés!$B$1,IF(E17="Composante",Clés!$B$2,Clés!$B$3)))</f>
        <v>0</v>
      </c>
      <c r="G17" s="287">
        <f>+D17*F17</f>
        <v>0</v>
      </c>
      <c r="H17" s="287">
        <f>+C17+G17</f>
        <v>29282.677083658986</v>
      </c>
      <c r="I17" s="364"/>
      <c r="K17" s="290"/>
      <c r="L17" s="291"/>
      <c r="M17" s="183">
        <f>IF(ISERROR('Cout Personnel '!$E$14),,'Cout Personnel '!$E$14)</f>
        <v>0</v>
      </c>
      <c r="N17" s="287">
        <f t="shared" ref="N17:N18" si="2">+L17*M17</f>
        <v>0</v>
      </c>
      <c r="O17" s="287">
        <f>K17+N17</f>
        <v>0</v>
      </c>
      <c r="P17" s="364"/>
      <c r="R17" s="287">
        <f t="shared" si="0"/>
        <v>29282.677083658986</v>
      </c>
      <c r="S17" s="247"/>
    </row>
    <row r="18" spans="1:19" ht="14.15" customHeight="1">
      <c r="A18" s="182" t="s">
        <v>68</v>
      </c>
      <c r="B18" s="218"/>
      <c r="C18" s="310">
        <v>1350.77</v>
      </c>
      <c r="D18" s="282"/>
      <c r="E18" s="283"/>
      <c r="F18" s="223"/>
      <c r="G18" s="282"/>
      <c r="H18" s="287">
        <f>+C18+G18</f>
        <v>1350.77</v>
      </c>
      <c r="I18" s="365"/>
      <c r="K18" s="290"/>
      <c r="L18" s="291"/>
      <c r="M18" s="183">
        <f>IF(ISERROR('Cout Personnel '!$E$14),,'Cout Personnel '!$E$14)</f>
        <v>0</v>
      </c>
      <c r="N18" s="287">
        <f t="shared" si="2"/>
        <v>0</v>
      </c>
      <c r="O18" s="287">
        <f>K18+N18</f>
        <v>0</v>
      </c>
      <c r="P18" s="365"/>
      <c r="R18" s="287">
        <f t="shared" si="0"/>
        <v>1350.77</v>
      </c>
      <c r="S18" s="248"/>
    </row>
    <row r="19" spans="1:19" ht="14.15" customHeight="1">
      <c r="A19" s="177" t="s">
        <v>89</v>
      </c>
      <c r="B19" s="218"/>
      <c r="C19" s="277">
        <f>+SUM(C20:C22)</f>
        <v>0</v>
      </c>
      <c r="D19" s="277">
        <f>+SUM(D20:D22)</f>
        <v>65000000</v>
      </c>
      <c r="E19" s="278"/>
      <c r="F19" s="179"/>
      <c r="G19" s="277">
        <f>+SUM(G20:G22)</f>
        <v>23915.094339622643</v>
      </c>
      <c r="H19" s="277">
        <f>+SUM(H20:H22)</f>
        <v>23915.094339622643</v>
      </c>
      <c r="I19" s="220">
        <f>IF($H$39=0,0%,(H19+H25+H31+H36)/$H$39)</f>
        <v>0.30424088801431948</v>
      </c>
      <c r="K19" s="289">
        <f>+SUM(K20:K22)</f>
        <v>0</v>
      </c>
      <c r="L19" s="289">
        <f t="shared" ref="L19:O19" si="3">+SUM(L20:L22)</f>
        <v>0</v>
      </c>
      <c r="M19" s="181"/>
      <c r="N19" s="289">
        <f t="shared" si="3"/>
        <v>0</v>
      </c>
      <c r="O19" s="289">
        <f t="shared" si="3"/>
        <v>0</v>
      </c>
      <c r="P19" s="221">
        <f>IF($O$39=0,0%,(O19+O25+O31+O36)/$O$39)</f>
        <v>0</v>
      </c>
      <c r="R19" s="293">
        <f t="shared" si="0"/>
        <v>23915.094339622643</v>
      </c>
      <c r="S19" s="222">
        <f>IF($R$39=0,0%,(R19+R25+R31+R36)/$R$39)</f>
        <v>0.30424088801431948</v>
      </c>
    </row>
    <row r="20" spans="1:19" ht="14.15" customHeight="1">
      <c r="A20" s="182" t="s">
        <v>15</v>
      </c>
      <c r="B20" s="218"/>
      <c r="C20" s="282"/>
      <c r="D20" s="325">
        <v>50000000</v>
      </c>
      <c r="E20" s="281" t="s">
        <v>80</v>
      </c>
      <c r="F20" s="183">
        <f>IF(ISBLANK(E20),,IF(E20="Département",Clés!$B$1,IF(E20="Composante",Clés!$B$2,Clés!$B$3)))</f>
        <v>3.6792452830188683E-4</v>
      </c>
      <c r="G20" s="287">
        <f>+D20*F20</f>
        <v>18396.226415094341</v>
      </c>
      <c r="H20" s="287">
        <f>C20+G20</f>
        <v>18396.226415094341</v>
      </c>
      <c r="I20" s="364"/>
      <c r="K20" s="290"/>
      <c r="L20" s="291"/>
      <c r="M20" s="183">
        <f>IF(ISERROR('Cout Personnel '!$E$14),,'Cout Personnel '!$E$14)</f>
        <v>0</v>
      </c>
      <c r="N20" s="287">
        <f>+L20*M20</f>
        <v>0</v>
      </c>
      <c r="O20" s="287">
        <f>K20+N20</f>
        <v>0</v>
      </c>
      <c r="P20" s="364"/>
      <c r="R20" s="287">
        <f t="shared" si="0"/>
        <v>18396.226415094341</v>
      </c>
      <c r="S20" s="356"/>
    </row>
    <row r="21" spans="1:19" ht="14.15" customHeight="1">
      <c r="A21" s="182" t="s">
        <v>58</v>
      </c>
      <c r="B21" s="218"/>
      <c r="C21" s="282"/>
      <c r="D21" s="325">
        <v>15000000</v>
      </c>
      <c r="E21" s="281" t="s">
        <v>80</v>
      </c>
      <c r="F21" s="183">
        <f>IF(ISBLANK(E21),,IF(E21="Département",Clés!$B$1,IF(E21="Composante",Clés!$B$2,Clés!$B$3)))</f>
        <v>3.6792452830188683E-4</v>
      </c>
      <c r="G21" s="287">
        <f>+D21*F21</f>
        <v>5518.867924528302</v>
      </c>
      <c r="H21" s="287">
        <f>C21+G21</f>
        <v>5518.867924528302</v>
      </c>
      <c r="I21" s="366"/>
      <c r="K21" s="290"/>
      <c r="L21" s="291"/>
      <c r="M21" s="183">
        <f>IF(ISERROR('Cout Personnel '!$E$14),,'Cout Personnel '!$E$14)</f>
        <v>0</v>
      </c>
      <c r="N21" s="287">
        <f>+L21*M21</f>
        <v>0</v>
      </c>
      <c r="O21" s="287">
        <f>K21+N21</f>
        <v>0</v>
      </c>
      <c r="P21" s="366"/>
      <c r="R21" s="287">
        <f t="shared" si="0"/>
        <v>5518.867924528302</v>
      </c>
      <c r="S21" s="357"/>
    </row>
    <row r="22" spans="1:19" ht="14.15" customHeight="1">
      <c r="A22" s="182" t="s">
        <v>43</v>
      </c>
      <c r="B22" s="218"/>
      <c r="C22" s="279"/>
      <c r="D22" s="280"/>
      <c r="E22" s="281"/>
      <c r="F22" s="183">
        <f>IF(ISBLANK(E22),,IF(E22="Département",Clés!$B$1,IF(E22="Composante",Clés!$B$2,Clés!$B$3)))</f>
        <v>0</v>
      </c>
      <c r="G22" s="287">
        <f>+D22*F22</f>
        <v>0</v>
      </c>
      <c r="H22" s="287">
        <f>C22+G22</f>
        <v>0</v>
      </c>
      <c r="I22" s="365"/>
      <c r="K22" s="290"/>
      <c r="L22" s="291"/>
      <c r="M22" s="183">
        <f>IF(ISERROR('Cout Personnel '!$E$14),,'Cout Personnel '!$E$14)</f>
        <v>0</v>
      </c>
      <c r="N22" s="287">
        <f t="shared" ref="N22" si="4">+L22*M22</f>
        <v>0</v>
      </c>
      <c r="O22" s="287">
        <f>K22+N22</f>
        <v>0</v>
      </c>
      <c r="P22" s="365"/>
      <c r="R22" s="287">
        <f t="shared" si="0"/>
        <v>0</v>
      </c>
      <c r="S22" s="358"/>
    </row>
    <row r="23" spans="1:19" ht="14.15" customHeight="1">
      <c r="A23" s="177" t="s">
        <v>87</v>
      </c>
      <c r="B23" s="218"/>
      <c r="C23" s="278">
        <f>+C24</f>
        <v>0</v>
      </c>
      <c r="D23" s="277">
        <f>+D24</f>
        <v>0</v>
      </c>
      <c r="E23" s="278"/>
      <c r="F23" s="224"/>
      <c r="G23" s="277">
        <f>+G24</f>
        <v>0</v>
      </c>
      <c r="H23" s="277">
        <f>+H24</f>
        <v>0</v>
      </c>
      <c r="I23" s="220">
        <f>IF($H$39=0,0%,H23/$H$39)</f>
        <v>0</v>
      </c>
      <c r="K23" s="289">
        <f>+K24</f>
        <v>0</v>
      </c>
      <c r="L23" s="289">
        <f t="shared" ref="L23:O23" si="5">+L24</f>
        <v>0</v>
      </c>
      <c r="M23" s="181"/>
      <c r="N23" s="289">
        <f t="shared" si="5"/>
        <v>0</v>
      </c>
      <c r="O23" s="289">
        <f t="shared" si="5"/>
        <v>0</v>
      </c>
      <c r="P23" s="221">
        <f>IF($O$39=0,0%,O23/$O$39)</f>
        <v>0</v>
      </c>
      <c r="R23" s="293">
        <f t="shared" ref="R23:R38" si="6">+H23+O23</f>
        <v>0</v>
      </c>
      <c r="S23" s="222">
        <f>IF($R$39=0,0%,R23/$R$39)</f>
        <v>0</v>
      </c>
    </row>
    <row r="24" spans="1:19" ht="14.15" customHeight="1">
      <c r="A24" s="182" t="s">
        <v>88</v>
      </c>
      <c r="B24" s="218"/>
      <c r="C24" s="310"/>
      <c r="D24" s="280"/>
      <c r="E24" s="281"/>
      <c r="F24" s="183">
        <f>IF(ISBLANK(E24),,IF(E24="Département",Clés!$B$1,IF(E24="Composante",Clés!$B$2,Clés!$B$3)))</f>
        <v>0</v>
      </c>
      <c r="G24" s="287">
        <f>+D24*F24</f>
        <v>0</v>
      </c>
      <c r="H24" s="287">
        <f>C24+G24</f>
        <v>0</v>
      </c>
      <c r="I24" s="364"/>
      <c r="K24" s="290"/>
      <c r="L24" s="291"/>
      <c r="M24" s="183">
        <f>IF(ISERROR('Cout Personnel '!$E$14),,'Cout Personnel '!$E$14)</f>
        <v>0</v>
      </c>
      <c r="N24" s="287">
        <f t="shared" ref="N24" si="7">+L24*M24</f>
        <v>0</v>
      </c>
      <c r="O24" s="287">
        <f>K24+N24</f>
        <v>0</v>
      </c>
      <c r="P24" s="364"/>
      <c r="R24" s="287">
        <f t="shared" si="6"/>
        <v>0</v>
      </c>
      <c r="S24" s="364"/>
    </row>
    <row r="25" spans="1:19" ht="14.15" customHeight="1">
      <c r="A25" s="177" t="s">
        <v>90</v>
      </c>
      <c r="B25" s="218"/>
      <c r="C25" s="278">
        <f>+SUM(C26:C30)</f>
        <v>0</v>
      </c>
      <c r="D25" s="278">
        <f t="shared" ref="D25:H25" si="8">+SUM(D26:D30)</f>
        <v>0</v>
      </c>
      <c r="E25" s="278"/>
      <c r="F25" s="219"/>
      <c r="G25" s="278">
        <f t="shared" si="8"/>
        <v>0</v>
      </c>
      <c r="H25" s="278">
        <f t="shared" si="8"/>
        <v>0</v>
      </c>
      <c r="I25" s="366"/>
      <c r="K25" s="289">
        <f>+SUM(K26:K30)</f>
        <v>0</v>
      </c>
      <c r="L25" s="289">
        <f t="shared" ref="L25:O25" si="9">+SUM(L26:L30)</f>
        <v>0</v>
      </c>
      <c r="M25" s="181"/>
      <c r="N25" s="289">
        <f t="shared" si="9"/>
        <v>0</v>
      </c>
      <c r="O25" s="289">
        <f t="shared" si="9"/>
        <v>0</v>
      </c>
      <c r="P25" s="366"/>
      <c r="R25" s="293">
        <f t="shared" si="6"/>
        <v>0</v>
      </c>
      <c r="S25" s="366"/>
    </row>
    <row r="26" spans="1:19" ht="14.15" customHeight="1">
      <c r="A26" s="182" t="s">
        <v>95</v>
      </c>
      <c r="B26" s="218"/>
      <c r="C26" s="282"/>
      <c r="D26" s="282"/>
      <c r="E26" s="283"/>
      <c r="F26" s="223"/>
      <c r="G26" s="282"/>
      <c r="H26" s="282"/>
      <c r="I26" s="366"/>
      <c r="K26" s="290"/>
      <c r="L26" s="291"/>
      <c r="M26" s="183">
        <f>IF(ISERROR('Cout Personnel '!$E$14),,'Cout Personnel '!$E$14)</f>
        <v>0</v>
      </c>
      <c r="N26" s="287">
        <f t="shared" ref="N26:N30" si="10">+L26*M26</f>
        <v>0</v>
      </c>
      <c r="O26" s="287">
        <f>K26+N26</f>
        <v>0</v>
      </c>
      <c r="P26" s="366"/>
      <c r="R26" s="287">
        <f t="shared" si="6"/>
        <v>0</v>
      </c>
      <c r="S26" s="366"/>
    </row>
    <row r="27" spans="1:19" ht="14.15" customHeight="1">
      <c r="A27" s="182" t="s">
        <v>94</v>
      </c>
      <c r="B27" s="218"/>
      <c r="C27" s="282"/>
      <c r="D27" s="282"/>
      <c r="E27" s="283"/>
      <c r="F27" s="223"/>
      <c r="G27" s="282"/>
      <c r="H27" s="282"/>
      <c r="I27" s="366"/>
      <c r="K27" s="290"/>
      <c r="L27" s="291"/>
      <c r="M27" s="183">
        <f>IF(ISERROR('Cout Personnel '!$E$14),,'Cout Personnel '!$E$14)</f>
        <v>0</v>
      </c>
      <c r="N27" s="287">
        <f t="shared" ref="N27:N29" si="11">+L27*M27</f>
        <v>0</v>
      </c>
      <c r="O27" s="287">
        <f t="shared" ref="O27:O29" si="12">K27+N27</f>
        <v>0</v>
      </c>
      <c r="P27" s="366"/>
      <c r="R27" s="287">
        <f t="shared" si="6"/>
        <v>0</v>
      </c>
      <c r="S27" s="366"/>
    </row>
    <row r="28" spans="1:19" ht="14.15" customHeight="1">
      <c r="A28" s="182" t="s">
        <v>17</v>
      </c>
      <c r="B28" s="218"/>
      <c r="C28" s="282"/>
      <c r="D28" s="282"/>
      <c r="E28" s="283"/>
      <c r="F28" s="223"/>
      <c r="G28" s="282"/>
      <c r="H28" s="282"/>
      <c r="I28" s="366"/>
      <c r="K28" s="290"/>
      <c r="L28" s="291"/>
      <c r="M28" s="183">
        <f>IF(ISERROR('Cout Personnel '!$E$14),,'Cout Personnel '!$E$14)</f>
        <v>0</v>
      </c>
      <c r="N28" s="287">
        <f t="shared" si="11"/>
        <v>0</v>
      </c>
      <c r="O28" s="287">
        <f t="shared" si="12"/>
        <v>0</v>
      </c>
      <c r="P28" s="366"/>
      <c r="R28" s="287">
        <f t="shared" si="6"/>
        <v>0</v>
      </c>
      <c r="S28" s="366"/>
    </row>
    <row r="29" spans="1:19" ht="14.15" customHeight="1">
      <c r="A29" s="182" t="s">
        <v>18</v>
      </c>
      <c r="B29" s="218"/>
      <c r="C29" s="282"/>
      <c r="D29" s="282"/>
      <c r="E29" s="283"/>
      <c r="F29" s="223"/>
      <c r="G29" s="282"/>
      <c r="H29" s="282"/>
      <c r="I29" s="366"/>
      <c r="K29" s="290"/>
      <c r="L29" s="291"/>
      <c r="M29" s="183">
        <f>IF(ISERROR('Cout Personnel '!$E$14),,'Cout Personnel '!$E$14)</f>
        <v>0</v>
      </c>
      <c r="N29" s="287">
        <f t="shared" si="11"/>
        <v>0</v>
      </c>
      <c r="O29" s="287">
        <f t="shared" si="12"/>
        <v>0</v>
      </c>
      <c r="P29" s="366"/>
      <c r="R29" s="287">
        <f t="shared" si="6"/>
        <v>0</v>
      </c>
      <c r="S29" s="366"/>
    </row>
    <row r="30" spans="1:19" ht="14.15" customHeight="1">
      <c r="A30" s="182" t="s">
        <v>82</v>
      </c>
      <c r="B30" s="218"/>
      <c r="C30" s="280"/>
      <c r="D30" s="280"/>
      <c r="E30" s="281"/>
      <c r="F30" s="183">
        <f>IF(ISBLANK(E30),,IF(E30="Département",Clés!$B$1,IF(E30="Composante",Clés!$B$2,Clés!$B$3)))</f>
        <v>0</v>
      </c>
      <c r="G30" s="287">
        <f>+D30*F30</f>
        <v>0</v>
      </c>
      <c r="H30" s="287">
        <f>C30+G30</f>
        <v>0</v>
      </c>
      <c r="I30" s="366"/>
      <c r="K30" s="290"/>
      <c r="L30" s="291"/>
      <c r="M30" s="183">
        <f>IF(ISERROR('Cout Personnel '!$E$14),,'Cout Personnel '!$E$14)</f>
        <v>0</v>
      </c>
      <c r="N30" s="287">
        <f t="shared" si="10"/>
        <v>0</v>
      </c>
      <c r="O30" s="287">
        <f>K30+N30</f>
        <v>0</v>
      </c>
      <c r="P30" s="366"/>
      <c r="R30" s="287">
        <f t="shared" si="6"/>
        <v>0</v>
      </c>
      <c r="S30" s="366"/>
    </row>
    <row r="31" spans="1:19" ht="14.15" customHeight="1">
      <c r="A31" s="177" t="s">
        <v>91</v>
      </c>
      <c r="B31" s="218"/>
      <c r="C31" s="277">
        <f t="shared" ref="C31" si="13">SUM(C32:C35)</f>
        <v>0</v>
      </c>
      <c r="D31" s="277">
        <f>SUM(D32:D35)</f>
        <v>13000000</v>
      </c>
      <c r="E31" s="277"/>
      <c r="F31" s="178"/>
      <c r="G31" s="277">
        <f>SUM(G32:G35)</f>
        <v>4783.0188679245284</v>
      </c>
      <c r="H31" s="277">
        <f>SUM(H32:H35)</f>
        <v>4783.0188679245284</v>
      </c>
      <c r="I31" s="366"/>
      <c r="K31" s="289">
        <f>+SUM(K32:K35)</f>
        <v>0</v>
      </c>
      <c r="L31" s="289">
        <f t="shared" ref="L31:O31" si="14">+SUM(L32:L35)</f>
        <v>0</v>
      </c>
      <c r="M31" s="181"/>
      <c r="N31" s="289">
        <f t="shared" si="14"/>
        <v>0</v>
      </c>
      <c r="O31" s="289">
        <f t="shared" si="14"/>
        <v>0</v>
      </c>
      <c r="P31" s="366"/>
      <c r="R31" s="293">
        <f t="shared" si="6"/>
        <v>4783.0188679245284</v>
      </c>
      <c r="S31" s="366"/>
    </row>
    <row r="32" spans="1:19" ht="14.15" customHeight="1">
      <c r="A32" s="182" t="s">
        <v>85</v>
      </c>
      <c r="B32" s="218"/>
      <c r="C32" s="280"/>
      <c r="D32" s="325">
        <v>4000000</v>
      </c>
      <c r="E32" s="281" t="s">
        <v>80</v>
      </c>
      <c r="F32" s="183">
        <f>IF(ISBLANK(E32),,IF(E32="Département",Clés!$B$1,IF(E32="Composante",Clés!$B$2,Clés!$B$3)))</f>
        <v>3.6792452830188683E-4</v>
      </c>
      <c r="G32" s="287">
        <f>+D32*F32</f>
        <v>1471.6981132075473</v>
      </c>
      <c r="H32" s="287">
        <f>C32+G32</f>
        <v>1471.6981132075473</v>
      </c>
      <c r="I32" s="366"/>
      <c r="K32" s="290"/>
      <c r="L32" s="291"/>
      <c r="M32" s="183">
        <f>IF(ISERROR('Cout Personnel '!$E$14),,'Cout Personnel '!$E$14)</f>
        <v>0</v>
      </c>
      <c r="N32" s="287">
        <f t="shared" ref="N32:N33" si="15">+L32*M32</f>
        <v>0</v>
      </c>
      <c r="O32" s="287">
        <f>K32+N32</f>
        <v>0</v>
      </c>
      <c r="P32" s="366"/>
      <c r="R32" s="287">
        <f t="shared" si="6"/>
        <v>1471.6981132075473</v>
      </c>
      <c r="S32" s="366"/>
    </row>
    <row r="33" spans="1:20" ht="14.15" customHeight="1">
      <c r="A33" s="182" t="s">
        <v>113</v>
      </c>
      <c r="B33" s="218"/>
      <c r="C33" s="280"/>
      <c r="D33" s="280"/>
      <c r="E33" s="281"/>
      <c r="F33" s="183">
        <f>IF(ISBLANK(E33),,IF(E33="Département",Clés!$B$1,IF(E33="Composante",Clés!$B$2,Clés!$B$3)))</f>
        <v>0</v>
      </c>
      <c r="G33" s="287">
        <f t="shared" ref="G33:G35" si="16">+D33*F33</f>
        <v>0</v>
      </c>
      <c r="H33" s="287">
        <f t="shared" ref="H33:H35" si="17">C33+G33</f>
        <v>0</v>
      </c>
      <c r="I33" s="366"/>
      <c r="K33" s="290"/>
      <c r="L33" s="291"/>
      <c r="M33" s="183">
        <f>IF(ISERROR('Cout Personnel '!$E$14),,'Cout Personnel '!$E$14)</f>
        <v>0</v>
      </c>
      <c r="N33" s="287">
        <f t="shared" si="15"/>
        <v>0</v>
      </c>
      <c r="O33" s="287">
        <f>K33+N33</f>
        <v>0</v>
      </c>
      <c r="P33" s="366"/>
      <c r="R33" s="287">
        <f t="shared" si="6"/>
        <v>0</v>
      </c>
      <c r="S33" s="366"/>
    </row>
    <row r="34" spans="1:20" ht="14.15" customHeight="1">
      <c r="A34" s="182" t="s">
        <v>86</v>
      </c>
      <c r="B34" s="218"/>
      <c r="C34" s="280"/>
      <c r="D34" s="325">
        <v>9000000</v>
      </c>
      <c r="E34" s="281" t="s">
        <v>80</v>
      </c>
      <c r="F34" s="183">
        <f>IF(ISBLANK(E34),,IF(E34="Département",Clés!$B$1,IF(E34="Composante",Clés!$B$2,Clés!$B$3)))</f>
        <v>3.6792452830188683E-4</v>
      </c>
      <c r="G34" s="287">
        <f t="shared" si="16"/>
        <v>3311.3207547169814</v>
      </c>
      <c r="H34" s="287">
        <f t="shared" si="17"/>
        <v>3311.3207547169814</v>
      </c>
      <c r="I34" s="366"/>
      <c r="K34" s="290"/>
      <c r="L34" s="291"/>
      <c r="M34" s="183">
        <f>IF(ISERROR('Cout Personnel '!$E$14),,'Cout Personnel '!$E$14)</f>
        <v>0</v>
      </c>
      <c r="N34" s="287">
        <f t="shared" ref="N34:N35" si="18">+L34*M34</f>
        <v>0</v>
      </c>
      <c r="O34" s="287">
        <f t="shared" ref="O34:O35" si="19">K34+N34</f>
        <v>0</v>
      </c>
      <c r="P34" s="366"/>
      <c r="R34" s="287">
        <f t="shared" si="6"/>
        <v>3311.3207547169814</v>
      </c>
      <c r="S34" s="366"/>
    </row>
    <row r="35" spans="1:20" ht="14.15" customHeight="1">
      <c r="A35" s="182" t="s">
        <v>114</v>
      </c>
      <c r="B35" s="218"/>
      <c r="C35" s="280"/>
      <c r="D35" s="280"/>
      <c r="E35" s="281"/>
      <c r="F35" s="183">
        <f>IF(ISBLANK(E35),,IF(E35="Département",Clés!$B$1,IF(E35="Composante",Clés!$B$2,Clés!$B$3)))</f>
        <v>0</v>
      </c>
      <c r="G35" s="287">
        <f t="shared" si="16"/>
        <v>0</v>
      </c>
      <c r="H35" s="287">
        <f t="shared" si="17"/>
        <v>0</v>
      </c>
      <c r="I35" s="366"/>
      <c r="K35" s="290"/>
      <c r="L35" s="291"/>
      <c r="M35" s="183">
        <f>IF(ISERROR('Cout Personnel '!$E$14),,'Cout Personnel '!$E$14)</f>
        <v>0</v>
      </c>
      <c r="N35" s="287">
        <f t="shared" si="18"/>
        <v>0</v>
      </c>
      <c r="O35" s="287">
        <f t="shared" si="19"/>
        <v>0</v>
      </c>
      <c r="P35" s="366"/>
      <c r="R35" s="287">
        <f t="shared" si="6"/>
        <v>0</v>
      </c>
      <c r="S35" s="366"/>
    </row>
    <row r="36" spans="1:20" ht="14.15" customHeight="1">
      <c r="A36" s="177" t="s">
        <v>92</v>
      </c>
      <c r="B36" s="218"/>
      <c r="C36" s="278">
        <f>+SUM(C37:C38)</f>
        <v>0</v>
      </c>
      <c r="D36" s="278">
        <f>+SUM(D37:D38)</f>
        <v>0</v>
      </c>
      <c r="E36" s="277"/>
      <c r="F36" s="179"/>
      <c r="G36" s="277">
        <f>+SUM(G37:G38)</f>
        <v>0</v>
      </c>
      <c r="H36" s="277">
        <f>+SUM(H37:H38)</f>
        <v>0</v>
      </c>
      <c r="I36" s="366"/>
      <c r="K36" s="289">
        <f>+SUM(K37:K38)</f>
        <v>0</v>
      </c>
      <c r="L36" s="289">
        <f t="shared" ref="L36:N36" si="20">+SUM(L37:L38)</f>
        <v>0</v>
      </c>
      <c r="M36" s="181"/>
      <c r="N36" s="289">
        <f t="shared" si="20"/>
        <v>0</v>
      </c>
      <c r="O36" s="289">
        <f>+SUM(O37:O38)</f>
        <v>0</v>
      </c>
      <c r="P36" s="366"/>
      <c r="R36" s="293">
        <f t="shared" si="6"/>
        <v>0</v>
      </c>
      <c r="S36" s="366"/>
    </row>
    <row r="37" spans="1:20" ht="14.15" customHeight="1">
      <c r="A37" s="182" t="s">
        <v>96</v>
      </c>
      <c r="B37" s="218"/>
      <c r="C37" s="282"/>
      <c r="D37" s="282"/>
      <c r="E37" s="283"/>
      <c r="F37" s="223"/>
      <c r="G37" s="282"/>
      <c r="H37" s="282"/>
      <c r="I37" s="366"/>
      <c r="K37" s="290"/>
      <c r="L37" s="291"/>
      <c r="M37" s="183">
        <f>IF(ISERROR('Cout Personnel '!$E$14),,'Cout Personnel '!$E$14)</f>
        <v>0</v>
      </c>
      <c r="N37" s="287">
        <f t="shared" ref="N37:N38" si="21">+L37*M37</f>
        <v>0</v>
      </c>
      <c r="O37" s="287">
        <f t="shared" ref="O37:O38" si="22">K37+N37</f>
        <v>0</v>
      </c>
      <c r="P37" s="366"/>
      <c r="R37" s="287">
        <f t="shared" si="6"/>
        <v>0</v>
      </c>
      <c r="S37" s="366"/>
    </row>
    <row r="38" spans="1:20" ht="14.15" customHeight="1">
      <c r="A38" s="77" t="s">
        <v>93</v>
      </c>
      <c r="B38" s="218"/>
      <c r="C38" s="280"/>
      <c r="D38" s="280"/>
      <c r="E38" s="281"/>
      <c r="F38" s="183">
        <f>IF(ISBLANK(E38),,IF(E38="Département",Clés!$B$1,IF(E38="Composante",Clés!$B$2,Clés!$B$3)))</f>
        <v>0</v>
      </c>
      <c r="G38" s="287">
        <f>+D38*F38</f>
        <v>0</v>
      </c>
      <c r="H38" s="287">
        <f>C38+G38</f>
        <v>0</v>
      </c>
      <c r="I38" s="365"/>
      <c r="K38" s="290"/>
      <c r="L38" s="291"/>
      <c r="M38" s="183">
        <f>IF(ISERROR('Cout Personnel '!$E$14),,'Cout Personnel '!$E$14)</f>
        <v>0</v>
      </c>
      <c r="N38" s="287">
        <f t="shared" si="21"/>
        <v>0</v>
      </c>
      <c r="O38" s="287">
        <f t="shared" si="22"/>
        <v>0</v>
      </c>
      <c r="P38" s="365"/>
      <c r="R38" s="287">
        <f t="shared" si="6"/>
        <v>0</v>
      </c>
      <c r="S38" s="365"/>
    </row>
    <row r="39" spans="1:20" ht="14.15" customHeight="1">
      <c r="A39" s="184" t="s">
        <v>27</v>
      </c>
      <c r="B39" s="218"/>
      <c r="C39" s="284">
        <f>+C36+C31+C25+C23+C19+C13+C16</f>
        <v>65628.830796759241</v>
      </c>
      <c r="D39" s="284">
        <f>+D36+D31+D25+D23+D19+D13+D16</f>
        <v>78000000</v>
      </c>
      <c r="E39" s="285"/>
      <c r="F39" s="186"/>
      <c r="G39" s="288">
        <f>+G36+G31+G25+G23+G19+G13+G16</f>
        <v>28698.113207547172</v>
      </c>
      <c r="H39" s="288">
        <f>+H36+H31+H25+H23+H19+H13+H16</f>
        <v>94326.94400430641</v>
      </c>
      <c r="I39" s="227">
        <f>IF(H39=0,0%,(I13+I16+I19+I23))</f>
        <v>1</v>
      </c>
      <c r="K39" s="292">
        <f>+K36+K31+K25+K23+K19+K13+K16</f>
        <v>0</v>
      </c>
      <c r="L39" s="292">
        <f>+L36+L31+L25+L23+L19+L13+L16</f>
        <v>0</v>
      </c>
      <c r="M39" s="188"/>
      <c r="N39" s="292">
        <f>+N36+N31+N25+N23+N19+N13+N16</f>
        <v>0</v>
      </c>
      <c r="O39" s="292">
        <f>+O36+O31+O25+O23+O19+O13+O16</f>
        <v>0</v>
      </c>
      <c r="P39" s="221">
        <f>IF($O$39=0,0%,P36+P31+P24+P23+P19+P13+P16)</f>
        <v>0</v>
      </c>
      <c r="Q39" s="189"/>
      <c r="R39" s="294">
        <f>+H39+O39</f>
        <v>94326.94400430641</v>
      </c>
      <c r="S39" s="222">
        <f>IF($R$39=0,0%,S36+S31+S24+S23+S19+S13+S16)</f>
        <v>0.99999999999999989</v>
      </c>
    </row>
    <row r="40" spans="1:20" ht="14.15" customHeight="1">
      <c r="A40" s="190"/>
      <c r="C40" s="286">
        <f>+C38+C37+C35+C34+C33+C32+C30+C29+C28+C27+C26+C24+C22+C21+C20+C15+C17+C14+C18-C39</f>
        <v>0</v>
      </c>
      <c r="D40" s="286">
        <f>+D38+D37+D35+D34+D33+D32+D30+D29+D28+D27+D26+D24+D22+D21+D20+D15+D17+D14+D18-D39</f>
        <v>0</v>
      </c>
      <c r="E40" s="286"/>
      <c r="F40" s="176"/>
      <c r="G40" s="286">
        <f>+G38+G37+G35+G34+G33+G32+G30+G29+G28+G27+G26+G24+G22+G21+G20+G15+G17+G14+G18-G39</f>
        <v>0</v>
      </c>
      <c r="H40" s="286">
        <f>+H38+H37+H35+H34+H33+H32+H30+H29+H28+H27+H26+H24+H22+H21+H20+H15+H17+H14+H18-H39</f>
        <v>0</v>
      </c>
      <c r="I40" s="198"/>
      <c r="J40" s="176">
        <f>+J38+J37+J35+J34+J33+J32+J30+J29+J28+J27+J26+J24+J22+J21+J20+J15+J17+J14-J39</f>
        <v>0</v>
      </c>
      <c r="K40" s="286">
        <f>+K38+K37+K35+K34+K33+K32+K30+K29+K28+K27+K26+K24+K22+K21+K20+K15+K17+K14+K18-K39</f>
        <v>0</v>
      </c>
      <c r="L40" s="286">
        <f>+L38+L37+L35+L34+L33+L32+L30+L29+L28+L27+L26+L24+L22+L21+L20+L15+L17+L14+L18-L39</f>
        <v>0</v>
      </c>
      <c r="M40" s="176"/>
      <c r="N40" s="286">
        <f>+N38+N37+N35+N34+N33+N32+N30+N29+N28+N27+N26+N24+N22+N21+N20+N15+N17+N14+N18-N39</f>
        <v>0</v>
      </c>
      <c r="O40" s="286">
        <f>+O38+O37+O35+O34+O33+O32+O30+O29+O28+O27+O26+O24+O22+O21+O20+O15+O17+O14+O18-O39</f>
        <v>0</v>
      </c>
      <c r="P40" s="176"/>
      <c r="Q40" s="176">
        <f>+Q38+Q37+Q35+Q34+Q33+Q32+Q30+Q29+Q28+Q27+Q26+Q24+Q22+Q21+Q20+Q15+Q17+Q14-Q39</f>
        <v>0</v>
      </c>
      <c r="R40" s="286">
        <f>+R38+R37+R35+R34+R33+R32+R30+R29+R28+R27+R26+R24+R22+R21+R20+R15+R17+R14+R18-R39</f>
        <v>0</v>
      </c>
    </row>
    <row r="41" spans="1:20" ht="14.15" customHeight="1">
      <c r="A41" s="177" t="s">
        <v>115</v>
      </c>
      <c r="C41" s="278"/>
      <c r="D41" s="278"/>
      <c r="E41" s="277"/>
      <c r="F41" s="179"/>
      <c r="G41" s="277"/>
      <c r="H41" s="277"/>
      <c r="I41" s="228"/>
      <c r="K41" s="289"/>
      <c r="L41" s="289"/>
      <c r="M41" s="181"/>
      <c r="N41" s="289"/>
      <c r="O41" s="289"/>
      <c r="P41" s="176"/>
      <c r="R41" s="293"/>
    </row>
    <row r="42" spans="1:20" ht="14.15" customHeight="1">
      <c r="A42" s="182" t="s">
        <v>116</v>
      </c>
      <c r="C42" s="280"/>
      <c r="D42" s="280"/>
      <c r="E42" s="281"/>
      <c r="F42" s="183">
        <f>IF(ISBLANK(E42),,IF(E42="Département",Clés!$B$1,IF(E42="Composante",Clés!$B$2,Clés!$B$3)))</f>
        <v>0</v>
      </c>
      <c r="G42" s="287">
        <f>+D42*F42</f>
        <v>0</v>
      </c>
      <c r="H42" s="287">
        <f>C42+G42</f>
        <v>0</v>
      </c>
      <c r="I42" s="228"/>
      <c r="K42" s="290"/>
      <c r="L42" s="291"/>
      <c r="M42" s="183">
        <f>IF(ISERROR('Cout Personnel '!$E$14),,'Cout Personnel '!$E$14)</f>
        <v>0</v>
      </c>
      <c r="N42" s="287">
        <f t="shared" ref="N42:N44" si="23">+L42*M42</f>
        <v>0</v>
      </c>
      <c r="O42" s="287">
        <f>K42+N42</f>
        <v>0</v>
      </c>
      <c r="P42" s="176"/>
      <c r="R42" s="287">
        <f t="shared" ref="R42:R44" si="24">+H42+O42</f>
        <v>0</v>
      </c>
    </row>
    <row r="43" spans="1:20" ht="14.15" customHeight="1">
      <c r="A43" s="182" t="s">
        <v>117</v>
      </c>
      <c r="C43" s="280"/>
      <c r="D43" s="280"/>
      <c r="E43" s="281"/>
      <c r="F43" s="183">
        <f>IF(ISBLANK(E43),,IF(E43="Département",Clés!$B$1,IF(E43="Composante",Clés!$B$2,Clés!$B$3)))</f>
        <v>0</v>
      </c>
      <c r="G43" s="287">
        <f>+D43*F43</f>
        <v>0</v>
      </c>
      <c r="H43" s="287">
        <f>C43+G43</f>
        <v>0</v>
      </c>
      <c r="I43" s="228"/>
      <c r="K43" s="290"/>
      <c r="L43" s="291"/>
      <c r="M43" s="183">
        <f>IF(ISERROR('Cout Personnel '!$E$14),,'Cout Personnel '!$E$14)</f>
        <v>0</v>
      </c>
      <c r="N43" s="287">
        <f t="shared" si="23"/>
        <v>0</v>
      </c>
      <c r="O43" s="287">
        <f t="shared" ref="O43:O44" si="25">K43+N43</f>
        <v>0</v>
      </c>
      <c r="P43" s="176"/>
      <c r="R43" s="287">
        <f t="shared" si="24"/>
        <v>0</v>
      </c>
    </row>
    <row r="44" spans="1:20" ht="14.15" customHeight="1">
      <c r="A44" s="77" t="s">
        <v>118</v>
      </c>
      <c r="C44" s="280"/>
      <c r="D44" s="280"/>
      <c r="E44" s="281"/>
      <c r="F44" s="183">
        <f>IF(ISBLANK(E44),,IF(E44="Département",Clés!$B$1,IF(E44="Composante",Clés!$B$2,Clés!$B$3)))</f>
        <v>0</v>
      </c>
      <c r="G44" s="287">
        <f>+D44*F44</f>
        <v>0</v>
      </c>
      <c r="H44" s="287">
        <f>C44+G44</f>
        <v>0</v>
      </c>
      <c r="I44" s="228"/>
      <c r="J44" s="176"/>
      <c r="K44" s="290"/>
      <c r="L44" s="291"/>
      <c r="M44" s="183">
        <f>IF(ISERROR('Cout Personnel '!$E$14),,'Cout Personnel '!$E$14)</f>
        <v>0</v>
      </c>
      <c r="N44" s="287">
        <f t="shared" si="23"/>
        <v>0</v>
      </c>
      <c r="O44" s="287">
        <f t="shared" si="25"/>
        <v>0</v>
      </c>
      <c r="P44" s="176"/>
      <c r="R44" s="287">
        <f t="shared" si="24"/>
        <v>0</v>
      </c>
    </row>
    <row r="45" spans="1:20" ht="14.15" customHeight="1">
      <c r="A45" s="184" t="s">
        <v>119</v>
      </c>
      <c r="C45" s="284">
        <f>+SUM(C42:C44)</f>
        <v>0</v>
      </c>
      <c r="D45" s="284">
        <f t="shared" ref="D45:G45" si="26">+SUM(D42:D44)</f>
        <v>0</v>
      </c>
      <c r="E45" s="285"/>
      <c r="F45" s="186"/>
      <c r="G45" s="288">
        <f t="shared" si="26"/>
        <v>0</v>
      </c>
      <c r="H45" s="288">
        <f>+SUM(H42:H44)</f>
        <v>0</v>
      </c>
      <c r="I45" s="228"/>
      <c r="J45" s="176"/>
      <c r="K45" s="292">
        <f t="shared" ref="K45" si="27">+SUM(K42:K44)</f>
        <v>0</v>
      </c>
      <c r="L45" s="292">
        <f t="shared" ref="L45" si="28">+SUM(L42:L44)</f>
        <v>0</v>
      </c>
      <c r="M45" s="188"/>
      <c r="N45" s="292">
        <f t="shared" ref="N45" si="29">+SUM(N42:N44)</f>
        <v>0</v>
      </c>
      <c r="O45" s="292">
        <f t="shared" ref="O45" si="30">+SUM(O42:O44)</f>
        <v>0</v>
      </c>
      <c r="P45" s="176"/>
      <c r="Q45" s="189"/>
      <c r="R45" s="294">
        <f>+SUM(R42:R44)</f>
        <v>0</v>
      </c>
      <c r="T45" s="251"/>
    </row>
    <row r="46" spans="1:20" ht="14.15" customHeight="1">
      <c r="A46" s="190"/>
      <c r="C46" s="176"/>
      <c r="D46" s="176"/>
      <c r="E46" s="176"/>
      <c r="F46" s="176"/>
      <c r="G46" s="176"/>
      <c r="H46" s="176"/>
      <c r="I46" s="198"/>
      <c r="J46" s="176"/>
      <c r="K46" s="176"/>
      <c r="L46" s="176"/>
      <c r="M46" s="176"/>
      <c r="N46" s="176"/>
      <c r="O46" s="176"/>
      <c r="P46" s="176"/>
      <c r="Q46" s="176"/>
      <c r="R46" s="176"/>
    </row>
    <row r="47" spans="1:20" ht="14.15" customHeight="1">
      <c r="A47" s="229" t="s">
        <v>16</v>
      </c>
      <c r="F47" s="114"/>
      <c r="H47" s="125"/>
      <c r="I47" s="228"/>
      <c r="M47" s="377" t="s">
        <v>21</v>
      </c>
      <c r="N47" s="378"/>
      <c r="O47" s="378"/>
      <c r="P47" s="379"/>
      <c r="R47" s="294">
        <f>R39/'Cout Personnel '!D9</f>
        <v>7255.9187695620312</v>
      </c>
      <c r="T47" s="250"/>
    </row>
    <row r="48" spans="1:20" ht="14.15" customHeight="1">
      <c r="C48" s="208"/>
      <c r="F48" s="209"/>
      <c r="H48" s="125"/>
      <c r="I48" s="228"/>
      <c r="K48" s="230"/>
      <c r="L48" s="230"/>
      <c r="M48" s="231"/>
      <c r="N48" s="230"/>
      <c r="O48" s="230"/>
      <c r="P48" s="230"/>
    </row>
    <row r="49" spans="1:19" ht="14.15" customHeight="1">
      <c r="F49" s="114"/>
      <c r="H49" s="250"/>
      <c r="I49" s="228"/>
      <c r="M49" s="377" t="s">
        <v>19</v>
      </c>
      <c r="N49" s="378"/>
      <c r="O49" s="378"/>
      <c r="P49" s="379"/>
      <c r="R49" s="78">
        <v>7200</v>
      </c>
    </row>
    <row r="50" spans="1:19" ht="14.15" customHeight="1">
      <c r="F50" s="114"/>
      <c r="H50" s="125"/>
      <c r="I50" s="228"/>
      <c r="K50" s="250"/>
      <c r="M50" s="377" t="s">
        <v>20</v>
      </c>
      <c r="N50" s="378"/>
      <c r="O50" s="378"/>
      <c r="P50" s="379"/>
      <c r="R50" s="294">
        <f>+R49-R47</f>
        <v>-55.91876956203123</v>
      </c>
    </row>
    <row r="51" spans="1:19" ht="14.15" customHeight="1">
      <c r="F51" s="114"/>
      <c r="H51" s="125"/>
      <c r="I51" s="228"/>
    </row>
    <row r="52" spans="1:19" ht="14.15" customHeight="1">
      <c r="A52" s="35" t="s">
        <v>59</v>
      </c>
      <c r="B52" s="202"/>
      <c r="C52" s="203"/>
      <c r="D52" s="203"/>
      <c r="E52" s="202"/>
      <c r="F52" s="204"/>
      <c r="G52" s="203"/>
      <c r="H52" s="205"/>
      <c r="I52" s="206"/>
      <c r="J52" s="202"/>
      <c r="K52" s="203"/>
      <c r="L52" s="203"/>
      <c r="M52" s="202"/>
      <c r="N52" s="203"/>
      <c r="O52" s="203"/>
      <c r="P52" s="203"/>
      <c r="Q52" s="202"/>
      <c r="R52" s="203"/>
      <c r="S52" s="207"/>
    </row>
    <row r="53" spans="1:19" ht="14.15" customHeight="1">
      <c r="B53" s="232"/>
      <c r="C53" s="208"/>
      <c r="F53" s="209"/>
      <c r="H53" s="125"/>
      <c r="I53" s="228"/>
    </row>
    <row r="54" spans="1:19" ht="14.15" customHeight="1">
      <c r="C54" s="367" t="s">
        <v>39</v>
      </c>
      <c r="D54" s="368"/>
      <c r="E54" s="368"/>
      <c r="F54" s="368"/>
      <c r="G54" s="368"/>
      <c r="H54" s="368"/>
      <c r="I54" s="369"/>
      <c r="J54" s="233"/>
      <c r="K54" s="370" t="s">
        <v>65</v>
      </c>
      <c r="L54" s="371"/>
      <c r="M54" s="371"/>
      <c r="N54" s="371"/>
      <c r="O54" s="371"/>
      <c r="P54" s="372"/>
      <c r="Q54" s="211"/>
      <c r="R54" s="359" t="s">
        <v>31</v>
      </c>
      <c r="S54" s="353" t="s">
        <v>10</v>
      </c>
    </row>
    <row r="55" spans="1:19" ht="14.15" customHeight="1">
      <c r="A55" s="212" t="s">
        <v>40</v>
      </c>
      <c r="B55" s="234"/>
      <c r="C55" s="380" t="s">
        <v>28</v>
      </c>
      <c r="D55" s="382" t="s">
        <v>30</v>
      </c>
      <c r="E55" s="382"/>
      <c r="F55" s="383"/>
      <c r="G55" s="383"/>
      <c r="H55" s="380" t="s">
        <v>14</v>
      </c>
      <c r="I55" s="375" t="s">
        <v>10</v>
      </c>
      <c r="J55" s="234"/>
      <c r="K55" s="384" t="s">
        <v>28</v>
      </c>
      <c r="L55" s="386" t="s">
        <v>30</v>
      </c>
      <c r="M55" s="387"/>
      <c r="N55" s="387"/>
      <c r="O55" s="362" t="s">
        <v>14</v>
      </c>
      <c r="P55" s="373" t="s">
        <v>10</v>
      </c>
      <c r="Q55" s="234"/>
      <c r="R55" s="360"/>
      <c r="S55" s="354"/>
    </row>
    <row r="56" spans="1:19" ht="36">
      <c r="C56" s="381"/>
      <c r="D56" s="213" t="s">
        <v>29</v>
      </c>
      <c r="E56" s="214" t="s">
        <v>98</v>
      </c>
      <c r="F56" s="215" t="s">
        <v>10</v>
      </c>
      <c r="G56" s="213" t="s">
        <v>12</v>
      </c>
      <c r="H56" s="381"/>
      <c r="I56" s="376"/>
      <c r="K56" s="385"/>
      <c r="L56" s="216" t="s">
        <v>29</v>
      </c>
      <c r="M56" s="217" t="s">
        <v>10</v>
      </c>
      <c r="N56" s="216" t="s">
        <v>12</v>
      </c>
      <c r="O56" s="363"/>
      <c r="P56" s="374"/>
      <c r="R56" s="361"/>
      <c r="S56" s="355"/>
    </row>
    <row r="57" spans="1:19" s="236" customFormat="1" ht="29">
      <c r="A57" s="235" t="s">
        <v>99</v>
      </c>
      <c r="C57" s="278">
        <f>+SUM(C58:C60)</f>
        <v>0</v>
      </c>
      <c r="D57" s="278">
        <f t="shared" ref="D57:G57" si="31">+SUM(D58:D60)</f>
        <v>0</v>
      </c>
      <c r="E57" s="278"/>
      <c r="F57" s="219"/>
      <c r="G57" s="278">
        <f t="shared" si="31"/>
        <v>0</v>
      </c>
      <c r="H57" s="278">
        <f>+SUM(H58:H60)</f>
        <v>0</v>
      </c>
      <c r="I57" s="237">
        <f>IF($H$79=0,0%,H57/$H$79)</f>
        <v>0</v>
      </c>
      <c r="K57" s="289">
        <f>SUM(K58:K60)</f>
        <v>0</v>
      </c>
      <c r="L57" s="289">
        <f t="shared" ref="L57:O57" si="32">SUM(L58:L60)</f>
        <v>0</v>
      </c>
      <c r="M57" s="181"/>
      <c r="N57" s="289">
        <f t="shared" si="32"/>
        <v>0</v>
      </c>
      <c r="O57" s="289">
        <f t="shared" si="32"/>
        <v>0</v>
      </c>
      <c r="P57" s="221">
        <f>IF($O$79=0,0%,O57/$O$79)</f>
        <v>0</v>
      </c>
      <c r="R57" s="297">
        <f>+H57+O57</f>
        <v>0</v>
      </c>
      <c r="S57" s="238">
        <f>IF($R$79=0,0%,R57/$R$79)</f>
        <v>0</v>
      </c>
    </row>
    <row r="58" spans="1:19" s="236" customFormat="1" ht="14.15" customHeight="1">
      <c r="A58" s="239" t="s">
        <v>32</v>
      </c>
      <c r="C58" s="282"/>
      <c r="D58" s="282"/>
      <c r="E58" s="295"/>
      <c r="F58" s="240"/>
      <c r="G58" s="282"/>
      <c r="H58" s="282"/>
      <c r="I58" s="364"/>
      <c r="K58" s="290"/>
      <c r="L58" s="291"/>
      <c r="M58" s="183">
        <f>IF(ISERROR('Cout Personnel '!$E$14),,'Cout Personnel '!$E$14)</f>
        <v>0</v>
      </c>
      <c r="N58" s="287">
        <f t="shared" ref="N58:N60" si="33">+L58*M58</f>
        <v>0</v>
      </c>
      <c r="O58" s="287">
        <f t="shared" ref="O58:O60" si="34">K58+N58</f>
        <v>0</v>
      </c>
      <c r="P58" s="356"/>
      <c r="R58" s="287">
        <f t="shared" ref="R58:R79" si="35">+H58+O58</f>
        <v>0</v>
      </c>
      <c r="S58" s="356"/>
    </row>
    <row r="59" spans="1:19" s="236" customFormat="1" ht="14.15" customHeight="1">
      <c r="A59" s="239" t="s">
        <v>33</v>
      </c>
      <c r="C59" s="282"/>
      <c r="D59" s="282"/>
      <c r="E59" s="295"/>
      <c r="F59" s="240"/>
      <c r="G59" s="282"/>
      <c r="H59" s="282"/>
      <c r="I59" s="366"/>
      <c r="K59" s="290"/>
      <c r="L59" s="291"/>
      <c r="M59" s="183">
        <f>IF(ISERROR('Cout Personnel '!$E$14),,'Cout Personnel '!$E$14)</f>
        <v>0</v>
      </c>
      <c r="N59" s="287">
        <f t="shared" si="33"/>
        <v>0</v>
      </c>
      <c r="O59" s="287">
        <f t="shared" si="34"/>
        <v>0</v>
      </c>
      <c r="P59" s="357"/>
      <c r="R59" s="287">
        <f t="shared" si="35"/>
        <v>0</v>
      </c>
      <c r="S59" s="357"/>
    </row>
    <row r="60" spans="1:19" s="236" customFormat="1" ht="14.15" customHeight="1">
      <c r="A60" s="239" t="s">
        <v>34</v>
      </c>
      <c r="C60" s="282"/>
      <c r="D60" s="282"/>
      <c r="E60" s="295"/>
      <c r="F60" s="240"/>
      <c r="G60" s="282"/>
      <c r="H60" s="282"/>
      <c r="I60" s="365"/>
      <c r="K60" s="290"/>
      <c r="L60" s="291"/>
      <c r="M60" s="183">
        <f>IF(ISERROR('Cout Personnel '!$E$14),,'Cout Personnel '!$E$14)</f>
        <v>0</v>
      </c>
      <c r="N60" s="287">
        <f t="shared" si="33"/>
        <v>0</v>
      </c>
      <c r="O60" s="287">
        <f t="shared" si="34"/>
        <v>0</v>
      </c>
      <c r="P60" s="358"/>
      <c r="R60" s="287">
        <f t="shared" si="35"/>
        <v>0</v>
      </c>
      <c r="S60" s="358"/>
    </row>
    <row r="61" spans="1:19" s="236" customFormat="1" ht="43.5">
      <c r="A61" s="235" t="s">
        <v>112</v>
      </c>
      <c r="C61" s="278">
        <f>+SUM(C62:C67)</f>
        <v>0</v>
      </c>
      <c r="D61" s="278">
        <f t="shared" ref="D61:H61" si="36">+SUM(D62:D67)</f>
        <v>2500000</v>
      </c>
      <c r="E61" s="278"/>
      <c r="F61" s="219"/>
      <c r="G61" s="278">
        <f t="shared" si="36"/>
        <v>919.81132075471703</v>
      </c>
      <c r="H61" s="278">
        <f t="shared" si="36"/>
        <v>919.81132075471703</v>
      </c>
      <c r="I61" s="237">
        <f>IF($H$79=0,0%,H61/$H$79)</f>
        <v>1</v>
      </c>
      <c r="K61" s="289">
        <f>SUM(K62:K67)</f>
        <v>0</v>
      </c>
      <c r="L61" s="289">
        <f t="shared" ref="L61:O61" si="37">SUM(L62:L67)</f>
        <v>0</v>
      </c>
      <c r="M61" s="181"/>
      <c r="N61" s="289">
        <f t="shared" si="37"/>
        <v>0</v>
      </c>
      <c r="O61" s="289">
        <f t="shared" si="37"/>
        <v>0</v>
      </c>
      <c r="P61" s="221">
        <f>IF($O$79=0,0%,O61/$O$79)</f>
        <v>0</v>
      </c>
      <c r="R61" s="298">
        <f t="shared" si="35"/>
        <v>919.81132075471703</v>
      </c>
      <c r="S61" s="238">
        <f>IF($R$79=0,0%,R61/$R$79)</f>
        <v>1</v>
      </c>
    </row>
    <row r="62" spans="1:19" s="236" customFormat="1" ht="14.15" customHeight="1">
      <c r="A62" s="239" t="s">
        <v>32</v>
      </c>
      <c r="C62" s="282"/>
      <c r="D62" s="282"/>
      <c r="E62" s="295"/>
      <c r="F62" s="240"/>
      <c r="G62" s="282"/>
      <c r="H62" s="282"/>
      <c r="I62" s="364"/>
      <c r="K62" s="290"/>
      <c r="L62" s="291"/>
      <c r="M62" s="183">
        <f>IF(ISERROR('Cout Personnel '!$E$14),,'Cout Personnel '!$E$14)</f>
        <v>0</v>
      </c>
      <c r="N62" s="287">
        <f t="shared" ref="N62:N66" si="38">+L62*M62</f>
        <v>0</v>
      </c>
      <c r="O62" s="287">
        <f t="shared" ref="O62:O66" si="39">K62+N62</f>
        <v>0</v>
      </c>
      <c r="P62" s="356"/>
      <c r="R62" s="287">
        <f t="shared" si="35"/>
        <v>0</v>
      </c>
      <c r="S62" s="356"/>
    </row>
    <row r="63" spans="1:19" s="236" customFormat="1" ht="14.15" customHeight="1">
      <c r="A63" s="239" t="s">
        <v>33</v>
      </c>
      <c r="C63" s="280"/>
      <c r="D63" s="296"/>
      <c r="E63" s="281"/>
      <c r="F63" s="183">
        <f>IF(ISBLANK(E63),,IF(E63="Département",Clés!$B$1,IF(E63="Composante",Clés!$B$2,Clés!$B$3)))</f>
        <v>0</v>
      </c>
      <c r="G63" s="287">
        <f>D63*F63</f>
        <v>0</v>
      </c>
      <c r="H63" s="287">
        <f t="shared" ref="H63:H67" si="40">C63+G63</f>
        <v>0</v>
      </c>
      <c r="I63" s="366"/>
      <c r="K63" s="290"/>
      <c r="L63" s="291"/>
      <c r="M63" s="183">
        <f>IF(ISERROR('Cout Personnel '!$E$14),,'Cout Personnel '!$E$14)</f>
        <v>0</v>
      </c>
      <c r="N63" s="287">
        <f t="shared" si="38"/>
        <v>0</v>
      </c>
      <c r="O63" s="287">
        <f t="shared" si="39"/>
        <v>0</v>
      </c>
      <c r="P63" s="357"/>
      <c r="R63" s="287">
        <f t="shared" si="35"/>
        <v>0</v>
      </c>
      <c r="S63" s="357"/>
    </row>
    <row r="64" spans="1:19" s="236" customFormat="1" ht="14.15" customHeight="1">
      <c r="A64" s="239" t="s">
        <v>35</v>
      </c>
      <c r="C64" s="280"/>
      <c r="D64" s="296"/>
      <c r="E64" s="281"/>
      <c r="F64" s="183">
        <f>IF(ISBLANK(E64),,IF(E64="Département",Clés!$B$1,IF(E64="Composante",Clés!$B$2,Clés!$B$3)))</f>
        <v>0</v>
      </c>
      <c r="G64" s="287">
        <f>+D64*F64</f>
        <v>0</v>
      </c>
      <c r="H64" s="287">
        <f t="shared" si="40"/>
        <v>0</v>
      </c>
      <c r="I64" s="366"/>
      <c r="K64" s="290"/>
      <c r="L64" s="291"/>
      <c r="M64" s="183">
        <f>IF(ISERROR('Cout Personnel '!$E$14),,'Cout Personnel '!$E$14)</f>
        <v>0</v>
      </c>
      <c r="N64" s="287">
        <f t="shared" si="38"/>
        <v>0</v>
      </c>
      <c r="O64" s="287">
        <f t="shared" si="39"/>
        <v>0</v>
      </c>
      <c r="P64" s="357"/>
      <c r="R64" s="287">
        <f t="shared" si="35"/>
        <v>0</v>
      </c>
      <c r="S64" s="357"/>
    </row>
    <row r="65" spans="1:19" s="236" customFormat="1" ht="14.15" customHeight="1">
      <c r="A65" s="239" t="s">
        <v>36</v>
      </c>
      <c r="C65" s="312"/>
      <c r="D65" s="311">
        <v>500000</v>
      </c>
      <c r="E65" s="281" t="s">
        <v>80</v>
      </c>
      <c r="F65" s="183">
        <f>IF(ISBLANK(E65),,IF(E65="Département",Clés!$B$1,IF(E65="Composante",Clés!$B$2,Clés!$B$3)))</f>
        <v>3.6792452830188683E-4</v>
      </c>
      <c r="G65" s="287">
        <f t="shared" ref="G65:G67" si="41">+D65*F65</f>
        <v>183.96226415094341</v>
      </c>
      <c r="H65" s="287">
        <f t="shared" si="40"/>
        <v>183.96226415094341</v>
      </c>
      <c r="I65" s="366"/>
      <c r="K65" s="290"/>
      <c r="L65" s="291"/>
      <c r="M65" s="183">
        <f>IF(ISERROR('Cout Personnel '!$E$14),,'Cout Personnel '!$E$14)</f>
        <v>0</v>
      </c>
      <c r="N65" s="287">
        <f t="shared" si="38"/>
        <v>0</v>
      </c>
      <c r="O65" s="287">
        <f t="shared" si="39"/>
        <v>0</v>
      </c>
      <c r="P65" s="357"/>
      <c r="R65" s="287">
        <f t="shared" si="35"/>
        <v>183.96226415094341</v>
      </c>
      <c r="S65" s="357"/>
    </row>
    <row r="66" spans="1:19" s="236" customFormat="1" ht="14.15" customHeight="1">
      <c r="A66" s="239" t="s">
        <v>69</v>
      </c>
      <c r="C66" s="312"/>
      <c r="D66" s="311">
        <v>2000000</v>
      </c>
      <c r="E66" s="281" t="s">
        <v>80</v>
      </c>
      <c r="F66" s="183">
        <f>IF(ISBLANK(E66),,IF(E66="Département",Clés!$B$1,IF(E66="Composante",Clés!$B$2,Clés!$B$3)))</f>
        <v>3.6792452830188683E-4</v>
      </c>
      <c r="G66" s="287">
        <f t="shared" si="41"/>
        <v>735.84905660377365</v>
      </c>
      <c r="H66" s="287">
        <f t="shared" si="40"/>
        <v>735.84905660377365</v>
      </c>
      <c r="I66" s="366"/>
      <c r="K66" s="290"/>
      <c r="L66" s="291"/>
      <c r="M66" s="183">
        <f>IF(ISERROR('Cout Personnel '!$E$14),,'Cout Personnel '!$E$14)</f>
        <v>0</v>
      </c>
      <c r="N66" s="287">
        <f t="shared" si="38"/>
        <v>0</v>
      </c>
      <c r="O66" s="287">
        <f t="shared" si="39"/>
        <v>0</v>
      </c>
      <c r="P66" s="357"/>
      <c r="R66" s="287">
        <f t="shared" si="35"/>
        <v>735.84905660377365</v>
      </c>
      <c r="S66" s="357"/>
    </row>
    <row r="67" spans="1:19" s="236" customFormat="1" ht="14.15" customHeight="1">
      <c r="A67" s="239" t="s">
        <v>100</v>
      </c>
      <c r="C67" s="280"/>
      <c r="D67" s="296"/>
      <c r="E67" s="281"/>
      <c r="F67" s="183">
        <f>IF(ISBLANK(E67),,IF(E67="Département",Clés!$B$1,IF(E67="Composante",Clés!$B$2,Clés!$B$3)))</f>
        <v>0</v>
      </c>
      <c r="G67" s="287">
        <f t="shared" si="41"/>
        <v>0</v>
      </c>
      <c r="H67" s="287">
        <f t="shared" si="40"/>
        <v>0</v>
      </c>
      <c r="I67" s="365"/>
      <c r="K67" s="290"/>
      <c r="L67" s="291"/>
      <c r="M67" s="183">
        <f>IF(ISERROR('Cout Personnel '!$E$14),,'Cout Personnel '!$E$14)</f>
        <v>0</v>
      </c>
      <c r="N67" s="287">
        <f>+L67*M67</f>
        <v>0</v>
      </c>
      <c r="O67" s="287">
        <f>K67+N67</f>
        <v>0</v>
      </c>
      <c r="P67" s="358"/>
      <c r="R67" s="287">
        <f t="shared" si="35"/>
        <v>0</v>
      </c>
      <c r="S67" s="358"/>
    </row>
    <row r="68" spans="1:19" s="236" customFormat="1" ht="14.15" customHeight="1">
      <c r="A68" s="235" t="s">
        <v>101</v>
      </c>
      <c r="C68" s="278">
        <f>+C69</f>
        <v>0</v>
      </c>
      <c r="D68" s="278">
        <f t="shared" ref="D68:H68" si="42">+D69</f>
        <v>0</v>
      </c>
      <c r="E68" s="278"/>
      <c r="F68" s="219"/>
      <c r="G68" s="278">
        <f t="shared" si="42"/>
        <v>0</v>
      </c>
      <c r="H68" s="278">
        <f t="shared" si="42"/>
        <v>0</v>
      </c>
      <c r="I68" s="237">
        <f>IF($H$79=0,0%,H68/$H$79)</f>
        <v>0</v>
      </c>
      <c r="K68" s="289">
        <f>+K69</f>
        <v>0</v>
      </c>
      <c r="L68" s="289">
        <f t="shared" ref="L68:O68" si="43">+L69</f>
        <v>0</v>
      </c>
      <c r="M68" s="180"/>
      <c r="N68" s="289">
        <f t="shared" si="43"/>
        <v>0</v>
      </c>
      <c r="O68" s="289">
        <f t="shared" si="43"/>
        <v>0</v>
      </c>
      <c r="P68" s="221">
        <f>IF($O$79=0,0%,O68/$O$79)</f>
        <v>0</v>
      </c>
      <c r="R68" s="293">
        <f t="shared" si="35"/>
        <v>0</v>
      </c>
      <c r="S68" s="238">
        <f>IF($R$79=0,0%,R68/$R$79)</f>
        <v>0</v>
      </c>
    </row>
    <row r="69" spans="1:19" s="236" customFormat="1" ht="14.15" customHeight="1">
      <c r="A69" s="239" t="s">
        <v>105</v>
      </c>
      <c r="C69" s="280"/>
      <c r="D69" s="296"/>
      <c r="E69" s="281"/>
      <c r="F69" s="183">
        <f>IF(ISBLANK(E69),,IF(E69="Département",Clés!$B$1,IF(E69="Composante",Clés!$B$2,Clés!$B$3)))</f>
        <v>0</v>
      </c>
      <c r="G69" s="287">
        <f t="shared" ref="G69" si="44">+D69*F69</f>
        <v>0</v>
      </c>
      <c r="H69" s="287">
        <f t="shared" ref="H69" si="45">C69+G69</f>
        <v>0</v>
      </c>
      <c r="I69" s="225"/>
      <c r="K69" s="290"/>
      <c r="L69" s="291"/>
      <c r="M69" s="183">
        <f>IF(ISERROR('Cout Personnel '!$E$14),,'Cout Personnel '!$E$14)</f>
        <v>0</v>
      </c>
      <c r="N69" s="287">
        <f>+L69*M69</f>
        <v>0</v>
      </c>
      <c r="O69" s="287">
        <f>K69+N69</f>
        <v>0</v>
      </c>
      <c r="P69" s="226"/>
      <c r="R69" s="287">
        <f t="shared" si="35"/>
        <v>0</v>
      </c>
      <c r="S69" s="241"/>
    </row>
    <row r="70" spans="1:19" s="236" customFormat="1" ht="14.15" customHeight="1">
      <c r="A70" s="235" t="s">
        <v>102</v>
      </c>
      <c r="C70" s="278">
        <f>+C71</f>
        <v>0</v>
      </c>
      <c r="D70" s="278">
        <f t="shared" ref="D70:H70" si="46">+D71</f>
        <v>0</v>
      </c>
      <c r="E70" s="278"/>
      <c r="F70" s="219"/>
      <c r="G70" s="278">
        <f t="shared" si="46"/>
        <v>0</v>
      </c>
      <c r="H70" s="278">
        <f t="shared" si="46"/>
        <v>0</v>
      </c>
      <c r="I70" s="237">
        <f>IF($H$79=0,0%,H70/$H$79)</f>
        <v>0</v>
      </c>
      <c r="K70" s="289">
        <f>+K71</f>
        <v>0</v>
      </c>
      <c r="L70" s="289">
        <f t="shared" ref="L70:O70" si="47">+L71</f>
        <v>0</v>
      </c>
      <c r="M70" s="180"/>
      <c r="N70" s="289">
        <f t="shared" si="47"/>
        <v>0</v>
      </c>
      <c r="O70" s="289">
        <f t="shared" si="47"/>
        <v>0</v>
      </c>
      <c r="P70" s="221">
        <f>IF($O$79=0,0%,O70/$O$79)</f>
        <v>0</v>
      </c>
      <c r="R70" s="293">
        <f t="shared" si="35"/>
        <v>0</v>
      </c>
      <c r="S70" s="238">
        <f>IF($R$79=0,0%,R70/$R$79)</f>
        <v>0</v>
      </c>
    </row>
    <row r="71" spans="1:19" s="236" customFormat="1" ht="14.15" customHeight="1">
      <c r="A71" s="239" t="s">
        <v>106</v>
      </c>
      <c r="C71" s="282"/>
      <c r="D71" s="282"/>
      <c r="E71" s="295"/>
      <c r="F71" s="240"/>
      <c r="G71" s="282"/>
      <c r="H71" s="282"/>
      <c r="I71" s="225"/>
      <c r="K71" s="290"/>
      <c r="L71" s="291"/>
      <c r="M71" s="183">
        <f>IF(ISERROR('Cout Personnel '!$E$14),,'Cout Personnel '!$E$14)</f>
        <v>0</v>
      </c>
      <c r="N71" s="287">
        <f>+L71*M71</f>
        <v>0</v>
      </c>
      <c r="O71" s="287">
        <f>K71+N71</f>
        <v>0</v>
      </c>
      <c r="P71" s="226"/>
      <c r="R71" s="287">
        <f t="shared" si="35"/>
        <v>0</v>
      </c>
      <c r="S71" s="241"/>
    </row>
    <row r="72" spans="1:19" s="236" customFormat="1" ht="14.15" customHeight="1">
      <c r="A72" s="235" t="s">
        <v>103</v>
      </c>
      <c r="C72" s="278">
        <f>+C73</f>
        <v>0</v>
      </c>
      <c r="D72" s="278">
        <f t="shared" ref="D72:H72" si="48">+D73</f>
        <v>0</v>
      </c>
      <c r="E72" s="278"/>
      <c r="F72" s="219"/>
      <c r="G72" s="278">
        <f t="shared" si="48"/>
        <v>0</v>
      </c>
      <c r="H72" s="278">
        <f t="shared" si="48"/>
        <v>0</v>
      </c>
      <c r="I72" s="237">
        <f>IF($H$79=0,0%,H72/$H$79)</f>
        <v>0</v>
      </c>
      <c r="K72" s="289">
        <f>+K73</f>
        <v>0</v>
      </c>
      <c r="L72" s="289">
        <f t="shared" ref="L72:O72" si="49">+L73</f>
        <v>0</v>
      </c>
      <c r="M72" s="180"/>
      <c r="N72" s="289">
        <f t="shared" si="49"/>
        <v>0</v>
      </c>
      <c r="O72" s="289">
        <f t="shared" si="49"/>
        <v>0</v>
      </c>
      <c r="P72" s="221">
        <f>IF($O$79=0,0%,O72/$O$79)</f>
        <v>0</v>
      </c>
      <c r="R72" s="293">
        <f t="shared" si="35"/>
        <v>0</v>
      </c>
      <c r="S72" s="238">
        <f>IF($R$79=0,0%,R72/$R$79)</f>
        <v>0</v>
      </c>
    </row>
    <row r="73" spans="1:19" s="236" customFormat="1" ht="14.15" customHeight="1">
      <c r="A73" s="239" t="s">
        <v>107</v>
      </c>
      <c r="C73" s="280"/>
      <c r="D73" s="296"/>
      <c r="E73" s="281"/>
      <c r="F73" s="183">
        <f>IF(ISBLANK(E73),,IF(E73="Département",Clés!$B$1,IF(E73="Composante",Clés!$B$2,Clés!$B$3)))</f>
        <v>0</v>
      </c>
      <c r="G73" s="287">
        <f t="shared" ref="G73" si="50">+D73*F73</f>
        <v>0</v>
      </c>
      <c r="H73" s="287">
        <f t="shared" ref="H73" si="51">C73+G73</f>
        <v>0</v>
      </c>
      <c r="I73" s="225"/>
      <c r="K73" s="290"/>
      <c r="L73" s="291"/>
      <c r="M73" s="183">
        <f>IF(ISERROR('Cout Personnel '!$E$14),,'Cout Personnel '!$E$14)</f>
        <v>0</v>
      </c>
      <c r="N73" s="287">
        <f>+L73*M73</f>
        <v>0</v>
      </c>
      <c r="O73" s="287">
        <f>K73+N73</f>
        <v>0</v>
      </c>
      <c r="P73" s="226"/>
      <c r="R73" s="287">
        <f t="shared" si="35"/>
        <v>0</v>
      </c>
      <c r="S73" s="241"/>
    </row>
    <row r="74" spans="1:19" s="236" customFormat="1" ht="14.15" customHeight="1">
      <c r="A74" s="235" t="s">
        <v>104</v>
      </c>
      <c r="C74" s="278">
        <f>+SUM(C75:C76)</f>
        <v>0</v>
      </c>
      <c r="D74" s="278">
        <f t="shared" ref="D74:H74" si="52">+SUM(D75:D76)</f>
        <v>0</v>
      </c>
      <c r="E74" s="278"/>
      <c r="F74" s="219"/>
      <c r="G74" s="278">
        <f t="shared" si="52"/>
        <v>0</v>
      </c>
      <c r="H74" s="278">
        <f t="shared" si="52"/>
        <v>0</v>
      </c>
      <c r="I74" s="237">
        <f>IF($H$79=0,0%,H74/$H$79)</f>
        <v>0</v>
      </c>
      <c r="K74" s="289">
        <f>+SUM(K75:K76)</f>
        <v>0</v>
      </c>
      <c r="L74" s="289">
        <f t="shared" ref="L74:O74" si="53">+SUM(L75:L76)</f>
        <v>0</v>
      </c>
      <c r="M74" s="180"/>
      <c r="N74" s="289">
        <f t="shared" si="53"/>
        <v>0</v>
      </c>
      <c r="O74" s="289">
        <f t="shared" si="53"/>
        <v>0</v>
      </c>
      <c r="P74" s="221">
        <f>IF($O$79=0,0%,O74/$O$79)</f>
        <v>0</v>
      </c>
      <c r="R74" s="293">
        <f t="shared" si="35"/>
        <v>0</v>
      </c>
      <c r="S74" s="238">
        <f>IF($R$79=0,0%,R74/$R$79)</f>
        <v>0</v>
      </c>
    </row>
    <row r="75" spans="1:19" s="236" customFormat="1" ht="14.15" customHeight="1">
      <c r="A75" s="239" t="s">
        <v>108</v>
      </c>
      <c r="C75" s="280"/>
      <c r="D75" s="296"/>
      <c r="E75" s="281"/>
      <c r="F75" s="183">
        <f>IF(ISBLANK(E75),,IF(E75="Département",Clés!$B$1,IF(E75="Composante",Clés!$B$2,Clés!$B$3)))</f>
        <v>0</v>
      </c>
      <c r="G75" s="287">
        <f t="shared" ref="G75:G76" si="54">+D75*F75</f>
        <v>0</v>
      </c>
      <c r="H75" s="287">
        <f t="shared" ref="H75:H76" si="55">C75+G75</f>
        <v>0</v>
      </c>
      <c r="I75" s="364"/>
      <c r="K75" s="290"/>
      <c r="L75" s="291"/>
      <c r="M75" s="183">
        <f>IF(ISERROR('Cout Personnel '!$E$14),,'Cout Personnel '!$E$14)</f>
        <v>0</v>
      </c>
      <c r="N75" s="287">
        <f>+L75*M75</f>
        <v>0</v>
      </c>
      <c r="O75" s="287">
        <f>K75+N75</f>
        <v>0</v>
      </c>
      <c r="P75" s="356"/>
      <c r="R75" s="287">
        <f t="shared" si="35"/>
        <v>0</v>
      </c>
      <c r="S75" s="356"/>
    </row>
    <row r="76" spans="1:19" s="236" customFormat="1" ht="14.15" customHeight="1">
      <c r="A76" s="239" t="s">
        <v>125</v>
      </c>
      <c r="C76" s="280"/>
      <c r="D76" s="296"/>
      <c r="E76" s="281"/>
      <c r="F76" s="183">
        <f>IF(ISBLANK(E76),,IF(E76="Département",Clés!$B$1,IF(E76="Composante",Clés!$B$2,Clés!$B$3)))</f>
        <v>0</v>
      </c>
      <c r="G76" s="287">
        <f t="shared" si="54"/>
        <v>0</v>
      </c>
      <c r="H76" s="287">
        <f t="shared" si="55"/>
        <v>0</v>
      </c>
      <c r="I76" s="365"/>
      <c r="K76" s="290"/>
      <c r="L76" s="291"/>
      <c r="M76" s="183">
        <f>IF(ISERROR('Cout Personnel '!$E$14),,'Cout Personnel '!$E$14)</f>
        <v>0</v>
      </c>
      <c r="N76" s="287">
        <f>+L76*M76</f>
        <v>0</v>
      </c>
      <c r="O76" s="287">
        <f>K76+N76</f>
        <v>0</v>
      </c>
      <c r="P76" s="358"/>
      <c r="R76" s="287">
        <f t="shared" si="35"/>
        <v>0</v>
      </c>
      <c r="S76" s="358"/>
    </row>
    <row r="77" spans="1:19" s="236" customFormat="1" ht="14.15" customHeight="1">
      <c r="A77" s="235" t="s">
        <v>109</v>
      </c>
      <c r="C77" s="278">
        <f t="shared" ref="C77:D77" si="56">+C78</f>
        <v>0</v>
      </c>
      <c r="D77" s="278">
        <f t="shared" si="56"/>
        <v>0</v>
      </c>
      <c r="E77" s="278"/>
      <c r="F77" s="219"/>
      <c r="G77" s="278">
        <f>+G78</f>
        <v>0</v>
      </c>
      <c r="H77" s="278">
        <f>+H78</f>
        <v>0</v>
      </c>
      <c r="I77" s="237">
        <f>IF($H$79=0,0%,H77/$H$79)</f>
        <v>0</v>
      </c>
      <c r="K77" s="289">
        <f>+K78</f>
        <v>0</v>
      </c>
      <c r="L77" s="289">
        <f t="shared" ref="L77:O77" si="57">+L78</f>
        <v>0</v>
      </c>
      <c r="M77" s="180"/>
      <c r="N77" s="289">
        <f t="shared" si="57"/>
        <v>0</v>
      </c>
      <c r="O77" s="289">
        <f t="shared" si="57"/>
        <v>0</v>
      </c>
      <c r="P77" s="221">
        <f>IF($O$79=0,0%,O77/$O$79)</f>
        <v>0</v>
      </c>
      <c r="R77" s="293">
        <f t="shared" si="35"/>
        <v>0</v>
      </c>
      <c r="S77" s="238">
        <f>IF($R$79=0,0%,R77/$R$79)</f>
        <v>0</v>
      </c>
    </row>
    <row r="78" spans="1:19" s="236" customFormat="1" ht="14.15" customHeight="1">
      <c r="A78" s="77" t="s">
        <v>110</v>
      </c>
      <c r="C78" s="280"/>
      <c r="D78" s="296"/>
      <c r="E78" s="281"/>
      <c r="F78" s="183">
        <f>IF(ISBLANK(E78),,IF(E78="Département",Clés!$B$1,IF(E78="Composante",Clés!$B$2,Clés!$B$3)))</f>
        <v>0</v>
      </c>
      <c r="G78" s="287">
        <f t="shared" ref="G78" si="58">+D78*F78</f>
        <v>0</v>
      </c>
      <c r="H78" s="287">
        <f t="shared" ref="H78" si="59">C78+G78</f>
        <v>0</v>
      </c>
      <c r="I78" s="225"/>
      <c r="K78" s="290"/>
      <c r="L78" s="291"/>
      <c r="M78" s="183">
        <f>IF(ISERROR('Cout Personnel '!$E$14),,'Cout Personnel '!$E$14)</f>
        <v>0</v>
      </c>
      <c r="N78" s="287">
        <f>+L78*M78</f>
        <v>0</v>
      </c>
      <c r="O78" s="287">
        <f>K78+N78</f>
        <v>0</v>
      </c>
      <c r="P78" s="226"/>
      <c r="R78" s="287">
        <f t="shared" si="35"/>
        <v>0</v>
      </c>
      <c r="S78" s="241"/>
    </row>
    <row r="79" spans="1:19" ht="14.15" customHeight="1">
      <c r="A79" s="184" t="s">
        <v>111</v>
      </c>
      <c r="B79" s="218"/>
      <c r="C79" s="284">
        <f>+C77+C74+C72+C70+C68+C61+C57</f>
        <v>0</v>
      </c>
      <c r="D79" s="284">
        <f t="shared" ref="D79:H79" si="60">+D77+D74+D72+D70+D68+D61+D57</f>
        <v>2500000</v>
      </c>
      <c r="E79" s="284"/>
      <c r="F79" s="185"/>
      <c r="G79" s="284">
        <f t="shared" si="60"/>
        <v>919.81132075471703</v>
      </c>
      <c r="H79" s="284">
        <f t="shared" si="60"/>
        <v>919.81132075471703</v>
      </c>
      <c r="I79" s="237">
        <f>IF($H$79=0,0%,I77+I74+I72+I70+I68+I61+I57)</f>
        <v>1</v>
      </c>
      <c r="K79" s="292">
        <f>+K77+K74+K72+K70+K68+K61+K57</f>
        <v>0</v>
      </c>
      <c r="L79" s="292">
        <f t="shared" ref="L79:O79" si="61">+L77+L74+L72+L70+L68+L61+L57</f>
        <v>0</v>
      </c>
      <c r="M79" s="187"/>
      <c r="N79" s="292">
        <f t="shared" si="61"/>
        <v>0</v>
      </c>
      <c r="O79" s="292">
        <f t="shared" si="61"/>
        <v>0</v>
      </c>
      <c r="P79" s="221">
        <f>IF($O$79=0,0%,P57+P61+P68+P70+P72+P74+P77)</f>
        <v>0</v>
      </c>
      <c r="R79" s="294">
        <f t="shared" si="35"/>
        <v>919.81132075471703</v>
      </c>
      <c r="S79" s="238">
        <f>IF($R$79=0,0%,S77+S74+S72+S70+S68+S61+S57)</f>
        <v>1</v>
      </c>
    </row>
    <row r="80" spans="1:19" ht="14.15" customHeight="1">
      <c r="B80" s="175"/>
      <c r="C80" s="286">
        <f>+C78+C76+C75+C73+C69+C71+C67+C66+C65+C64+C63+C62+C60+C59+C58-C79</f>
        <v>0</v>
      </c>
      <c r="D80" s="286">
        <f t="shared" ref="D80:Q80" si="62">+D78+D76+D75+D73+D69+D71+D67+D66+D65+D64+D63+D62+D60+D59+D58-D79</f>
        <v>0</v>
      </c>
      <c r="E80" s="286"/>
      <c r="F80" s="176"/>
      <c r="G80" s="286">
        <f t="shared" si="62"/>
        <v>0</v>
      </c>
      <c r="H80" s="286">
        <f t="shared" si="62"/>
        <v>0</v>
      </c>
      <c r="I80" s="198"/>
      <c r="J80" s="176">
        <f t="shared" si="62"/>
        <v>0</v>
      </c>
      <c r="K80" s="286">
        <f t="shared" si="62"/>
        <v>0</v>
      </c>
      <c r="L80" s="286">
        <f t="shared" si="62"/>
        <v>0</v>
      </c>
      <c r="M80" s="176"/>
      <c r="N80" s="286">
        <f t="shared" si="62"/>
        <v>0</v>
      </c>
      <c r="O80" s="286">
        <f t="shared" si="62"/>
        <v>0</v>
      </c>
      <c r="P80" s="176"/>
      <c r="Q80" s="176">
        <f t="shared" si="62"/>
        <v>0</v>
      </c>
      <c r="R80" s="176">
        <f>+R78+R76+R75+R73+R69+R71+R67+R66+R65+R64+R63+R62+R60+R59+R58-R79</f>
        <v>0</v>
      </c>
      <c r="S80" s="200"/>
    </row>
    <row r="81" spans="1:19" ht="14.15" customHeight="1">
      <c r="A81" s="177" t="s">
        <v>120</v>
      </c>
      <c r="C81" s="278"/>
      <c r="D81" s="278"/>
      <c r="E81" s="277"/>
      <c r="F81" s="179"/>
      <c r="G81" s="277"/>
      <c r="H81" s="277"/>
      <c r="I81" s="228"/>
      <c r="K81" s="289"/>
      <c r="L81" s="289"/>
      <c r="M81" s="181"/>
      <c r="N81" s="289"/>
      <c r="O81" s="289"/>
      <c r="R81" s="293"/>
      <c r="S81" s="200"/>
    </row>
    <row r="82" spans="1:19" ht="14.15" customHeight="1">
      <c r="A82" s="182" t="s">
        <v>121</v>
      </c>
      <c r="C82" s="280"/>
      <c r="D82" s="296"/>
      <c r="E82" s="281"/>
      <c r="F82" s="183">
        <f>IF(ISBLANK(E82),,IF(E82="Département",Clés!$B$1,IF(E82="Composante",Clés!$B$2,Clés!$B$3)))</f>
        <v>0</v>
      </c>
      <c r="G82" s="287">
        <f>+D82*F82</f>
        <v>0</v>
      </c>
      <c r="H82" s="287">
        <f>C82+G82</f>
        <v>0</v>
      </c>
      <c r="I82" s="228"/>
      <c r="K82" s="290"/>
      <c r="L82" s="291"/>
      <c r="M82" s="183">
        <f>IF(ISERROR('Cout Personnel '!$E$14),,'Cout Personnel '!$E$14)</f>
        <v>0</v>
      </c>
      <c r="N82" s="287">
        <f>+L82*M82</f>
        <v>0</v>
      </c>
      <c r="O82" s="287">
        <f>K82+N82</f>
        <v>0</v>
      </c>
      <c r="R82" s="287">
        <f t="shared" ref="R82:R84" si="63">+H82+O82</f>
        <v>0</v>
      </c>
      <c r="S82" s="200"/>
    </row>
    <row r="83" spans="1:19" ht="14.15" customHeight="1">
      <c r="A83" s="182" t="s">
        <v>122</v>
      </c>
      <c r="C83" s="280"/>
      <c r="D83" s="296"/>
      <c r="E83" s="281"/>
      <c r="F83" s="183">
        <f>IF(ISBLANK(E83),,IF(E83="Département",Clés!$B$1,IF(E83="Composante",Clés!$B$2,Clés!$B$3)))</f>
        <v>0</v>
      </c>
      <c r="G83" s="287">
        <f>+D83*F83</f>
        <v>0</v>
      </c>
      <c r="H83" s="287">
        <f>C83+G83</f>
        <v>0</v>
      </c>
      <c r="I83" s="228"/>
      <c r="K83" s="290"/>
      <c r="L83" s="291"/>
      <c r="M83" s="183">
        <f>IF(ISERROR('Cout Personnel '!$E$14),,'Cout Personnel '!$E$14)</f>
        <v>0</v>
      </c>
      <c r="N83" s="287">
        <f>+L83*M83</f>
        <v>0</v>
      </c>
      <c r="O83" s="287">
        <f t="shared" ref="O83:O84" si="64">K83+N83</f>
        <v>0</v>
      </c>
      <c r="R83" s="287">
        <f t="shared" si="63"/>
        <v>0</v>
      </c>
      <c r="S83" s="200"/>
    </row>
    <row r="84" spans="1:19" ht="14.15" customHeight="1">
      <c r="A84" s="77" t="s">
        <v>123</v>
      </c>
      <c r="C84" s="280"/>
      <c r="D84" s="296"/>
      <c r="E84" s="281"/>
      <c r="F84" s="183">
        <f>IF(ISBLANK(E84),,IF(E84="Département",Clés!$B$1,IF(E84="Composante",Clés!$B$2,Clés!$B$3)))</f>
        <v>0</v>
      </c>
      <c r="G84" s="287">
        <f>+D84*F84</f>
        <v>0</v>
      </c>
      <c r="H84" s="287">
        <f>C84+G84</f>
        <v>0</v>
      </c>
      <c r="I84" s="228"/>
      <c r="J84" s="176"/>
      <c r="K84" s="290"/>
      <c r="L84" s="291"/>
      <c r="M84" s="183">
        <f>IF(ISERROR('Cout Personnel '!$E$14),,'Cout Personnel '!$E$14)</f>
        <v>0</v>
      </c>
      <c r="N84" s="287">
        <f>+L84*M84</f>
        <v>0</v>
      </c>
      <c r="O84" s="287">
        <f t="shared" si="64"/>
        <v>0</v>
      </c>
      <c r="R84" s="287">
        <f t="shared" si="63"/>
        <v>0</v>
      </c>
      <c r="S84" s="200"/>
    </row>
    <row r="85" spans="1:19" ht="14.15" customHeight="1">
      <c r="A85" s="184" t="s">
        <v>124</v>
      </c>
      <c r="C85" s="284">
        <f>+SUM(C82:C84)</f>
        <v>0</v>
      </c>
      <c r="D85" s="284">
        <f>+SUM(D82:D84)</f>
        <v>0</v>
      </c>
      <c r="E85" s="285"/>
      <c r="F85" s="186"/>
      <c r="G85" s="288">
        <f t="shared" ref="G85" si="65">+SUM(G82:G84)</f>
        <v>0</v>
      </c>
      <c r="H85" s="288">
        <f>+SUM(H82:H84)</f>
        <v>0</v>
      </c>
      <c r="I85" s="228"/>
      <c r="J85" s="176"/>
      <c r="K85" s="292">
        <f t="shared" ref="K85" si="66">+SUM(K82:K84)</f>
        <v>0</v>
      </c>
      <c r="L85" s="292">
        <f t="shared" ref="L85" si="67">+SUM(L82:L84)</f>
        <v>0</v>
      </c>
      <c r="M85" s="188"/>
      <c r="N85" s="292">
        <f>+SUM(N82:N84)</f>
        <v>0</v>
      </c>
      <c r="O85" s="292">
        <f>+SUM(O82:O84)</f>
        <v>0</v>
      </c>
      <c r="Q85" s="189"/>
      <c r="R85" s="294">
        <f>+SUM(R82:R84)</f>
        <v>0</v>
      </c>
      <c r="S85" s="200"/>
    </row>
    <row r="86" spans="1:19" ht="14.15" customHeight="1">
      <c r="B86" s="175"/>
      <c r="C86" s="176"/>
      <c r="D86" s="176"/>
      <c r="E86" s="176"/>
      <c r="F86" s="176"/>
      <c r="G86" s="176"/>
      <c r="H86" s="176"/>
      <c r="I86" s="198"/>
      <c r="J86" s="176"/>
      <c r="K86" s="176"/>
      <c r="L86" s="176"/>
      <c r="M86" s="176"/>
      <c r="N86" s="176"/>
      <c r="O86" s="176"/>
      <c r="P86" s="176"/>
      <c r="Q86" s="176"/>
      <c r="R86" s="176"/>
      <c r="S86" s="200"/>
    </row>
    <row r="87" spans="1:19" ht="14.15" customHeight="1">
      <c r="A87" s="232"/>
      <c r="F87" s="114"/>
      <c r="H87" s="125"/>
      <c r="I87" s="228"/>
      <c r="M87" s="350" t="s">
        <v>37</v>
      </c>
      <c r="N87" s="351"/>
      <c r="O87" s="351"/>
      <c r="P87" s="352"/>
      <c r="R87" s="294">
        <f>+R79-R39</f>
        <v>-93407.132683551696</v>
      </c>
    </row>
    <row r="88" spans="1:19" ht="14.15" customHeight="1">
      <c r="H88" s="125"/>
      <c r="I88" s="228"/>
    </row>
  </sheetData>
  <sheetProtection algorithmName="SHA-512" hashValue="kHmWfPufOrFWgEtKlSvKQDXWGUaJ62Pa7KbG8fS78eL6ZhQn72J6Ff2cBZNTBIUGe58VhMyFOzut1SIdPcYdsw==" saltValue="AXJnAgT7seK9nzfBAGyvow==" spinCount="100000" sheet="1" objects="1" scenarios="1"/>
  <mergeCells count="47">
    <mergeCell ref="S24:S38"/>
    <mergeCell ref="C11:C12"/>
    <mergeCell ref="C10:I10"/>
    <mergeCell ref="I11:I12"/>
    <mergeCell ref="S10:S12"/>
    <mergeCell ref="S20:S22"/>
    <mergeCell ref="P14:P15"/>
    <mergeCell ref="P17:P18"/>
    <mergeCell ref="I17:I18"/>
    <mergeCell ref="I14:I15"/>
    <mergeCell ref="D11:G11"/>
    <mergeCell ref="H11:H12"/>
    <mergeCell ref="I20:I22"/>
    <mergeCell ref="I24:I38"/>
    <mergeCell ref="M47:P47"/>
    <mergeCell ref="K10:P10"/>
    <mergeCell ref="P11:P12"/>
    <mergeCell ref="R10:R12"/>
    <mergeCell ref="K11:K12"/>
    <mergeCell ref="L11:N11"/>
    <mergeCell ref="O11:O12"/>
    <mergeCell ref="P20:P22"/>
    <mergeCell ref="P24:P38"/>
    <mergeCell ref="M49:P49"/>
    <mergeCell ref="M50:P50"/>
    <mergeCell ref="C55:C56"/>
    <mergeCell ref="D55:G55"/>
    <mergeCell ref="H55:H56"/>
    <mergeCell ref="K55:K56"/>
    <mergeCell ref="L55:N55"/>
    <mergeCell ref="I75:I76"/>
    <mergeCell ref="I62:I67"/>
    <mergeCell ref="I58:I60"/>
    <mergeCell ref="C54:I54"/>
    <mergeCell ref="K54:P54"/>
    <mergeCell ref="P55:P56"/>
    <mergeCell ref="I55:I56"/>
    <mergeCell ref="M87:P87"/>
    <mergeCell ref="S54:S56"/>
    <mergeCell ref="S58:S60"/>
    <mergeCell ref="S62:S67"/>
    <mergeCell ref="S75:S76"/>
    <mergeCell ref="P75:P76"/>
    <mergeCell ref="P62:P67"/>
    <mergeCell ref="P58:P60"/>
    <mergeCell ref="R54:R56"/>
    <mergeCell ref="O55:O56"/>
  </mergeCells>
  <pageMargins left="0.7" right="0.7" top="0.75" bottom="0.75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Clés!$A$1:$A$3</xm:f>
          </x14:formula1>
          <xm:sqref>E78 E38 E63:E67 E75:E76 E73 E24 E69 E32:E35 E20:E22 E30 E42:E44 E82:E84 E17 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B3" sqref="B3"/>
    </sheetView>
  </sheetViews>
  <sheetFormatPr baseColWidth="10" defaultRowHeight="14.5"/>
  <cols>
    <col min="1" max="1" width="12.81640625" bestFit="1" customWidth="1"/>
    <col min="2" max="2" width="11.453125" style="32" bestFit="1" customWidth="1"/>
  </cols>
  <sheetData>
    <row r="1" spans="1:2">
      <c r="A1" s="33" t="s">
        <v>79</v>
      </c>
      <c r="B1" s="34" t="e">
        <f>+'Cout Personnel '!E11</f>
        <v>#DIV/0!</v>
      </c>
    </row>
    <row r="2" spans="1:2">
      <c r="A2" s="33" t="s">
        <v>78</v>
      </c>
      <c r="B2" s="34" t="e">
        <f>+'Cout Personnel '!E12</f>
        <v>#DIV/0!</v>
      </c>
    </row>
    <row r="3" spans="1:2">
      <c r="A3" s="33" t="s">
        <v>80</v>
      </c>
      <c r="B3" s="34">
        <f>+'Cout Personnel '!E13</f>
        <v>3.6792452830188683E-4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Cout Personnel </vt:lpstr>
      <vt:lpstr>Matrice FC</vt:lpstr>
      <vt:lpstr>Clés</vt:lpstr>
    </vt:vector>
  </TitlesOfParts>
  <Company>Orcom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BOUTARD Xavier</dc:creator>
  <cp:lastModifiedBy>Lyndia ALLAIRE</cp:lastModifiedBy>
  <cp:lastPrinted>2020-10-20T05:24:12Z</cp:lastPrinted>
  <dcterms:created xsi:type="dcterms:W3CDTF">2020-10-08T14:21:51Z</dcterms:created>
  <dcterms:modified xsi:type="dcterms:W3CDTF">2024-04-05T07:23:19Z</dcterms:modified>
</cp:coreProperties>
</file>